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airefyson/Documents/RBF_NDC_tool/ndc-ambition-tool-rbf/UK_COP_analysis/"/>
    </mc:Choice>
  </mc:AlternateContent>
  <xr:revisionPtr revIDLastSave="0" documentId="13_ncr:1_{06D3C997-90BA-3445-82C8-6DC2A4C2DEE0}" xr6:coauthVersionLast="46" xr6:coauthVersionMax="46" xr10:uidLastSave="{00000000-0000-0000-0000-000000000000}"/>
  <bookViews>
    <workbookView xWindow="33640" yWindow="1620" windowWidth="27620" windowHeight="16520" xr2:uid="{288473F4-F7D6-2B46-A042-728DC0D15D45}"/>
  </bookViews>
  <sheets>
    <sheet name="NDC_updates" sheetId="1" r:id="rId1"/>
    <sheet name="for_analysis" sheetId="4" r:id="rId2"/>
    <sheet name="USA" sheetId="2" r:id="rId3"/>
    <sheet name="2010_emissions" sheetId="3" r:id="rId4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4" i="1"/>
  <c r="D42" i="1"/>
  <c r="C8" i="4" l="1"/>
  <c r="B8" i="4"/>
  <c r="B3" i="4"/>
  <c r="C3" i="4"/>
  <c r="D3" i="4"/>
  <c r="E3" i="4"/>
  <c r="D4" i="4"/>
  <c r="E4" i="4"/>
  <c r="B5" i="4"/>
  <c r="C5" i="4"/>
  <c r="D5" i="4"/>
  <c r="E5" i="4"/>
  <c r="B6" i="4"/>
  <c r="C6" i="4"/>
  <c r="D6" i="4"/>
  <c r="E6" i="4"/>
  <c r="D8" i="4"/>
  <c r="E8" i="4"/>
  <c r="D9" i="4"/>
  <c r="E9" i="4"/>
  <c r="D10" i="4"/>
  <c r="E10" i="4"/>
  <c r="D11" i="4"/>
  <c r="E11" i="4"/>
  <c r="D12" i="4"/>
  <c r="E12" i="4"/>
  <c r="D13" i="4"/>
  <c r="E13" i="4"/>
  <c r="D14" i="4"/>
  <c r="E14" i="4"/>
  <c r="D15" i="4"/>
  <c r="E15" i="4"/>
  <c r="D16" i="4"/>
  <c r="E16" i="4"/>
  <c r="D17" i="4"/>
  <c r="E17" i="4"/>
  <c r="D18" i="4"/>
  <c r="E18" i="4"/>
  <c r="D19" i="4"/>
  <c r="E19" i="4"/>
  <c r="D20" i="4"/>
  <c r="E20" i="4"/>
  <c r="E7" i="4"/>
  <c r="D7" i="4"/>
  <c r="B9" i="4"/>
  <c r="C9" i="4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C7" i="4"/>
  <c r="B7" i="4"/>
  <c r="C58" i="1" l="1"/>
  <c r="B58" i="1" l="1"/>
  <c r="F3" i="2"/>
  <c r="J5" i="1" l="1"/>
  <c r="D189" i="3"/>
  <c r="I47" i="1" s="1"/>
  <c r="D190" i="3"/>
  <c r="J47" i="1" s="1"/>
  <c r="C190" i="3"/>
  <c r="C189" i="3"/>
  <c r="J46" i="1" s="1"/>
  <c r="I46" i="1"/>
  <c r="E186" i="3"/>
  <c r="E187" i="3"/>
  <c r="E188" i="3"/>
  <c r="D186" i="3"/>
  <c r="D46" i="1" s="1"/>
  <c r="D187" i="3"/>
  <c r="D47" i="1" s="1"/>
  <c r="D188" i="3"/>
  <c r="C187" i="3"/>
  <c r="C47" i="1" s="1"/>
  <c r="C186" i="3"/>
  <c r="C46" i="1" s="1"/>
  <c r="C188" i="3"/>
  <c r="G6" i="1"/>
  <c r="G20" i="1"/>
  <c r="G19" i="1"/>
  <c r="G13" i="1"/>
  <c r="G11" i="1"/>
  <c r="G10" i="1"/>
  <c r="E20" i="1"/>
  <c r="E19" i="1"/>
  <c r="E13" i="1"/>
  <c r="E11" i="1"/>
  <c r="E10" i="1"/>
  <c r="E6" i="1"/>
  <c r="H25" i="1"/>
  <c r="I25" i="1"/>
  <c r="I24" i="1"/>
  <c r="H24" i="1"/>
  <c r="I19" i="1"/>
  <c r="K16" i="1"/>
  <c r="J16" i="1"/>
  <c r="I16" i="1"/>
  <c r="I20" i="1"/>
  <c r="J18" i="1"/>
  <c r="I18" i="1"/>
  <c r="D15" i="1"/>
  <c r="I15" i="1" s="1"/>
  <c r="J17" i="1"/>
  <c r="E14" i="1"/>
  <c r="J14" i="1" s="1"/>
  <c r="E12" i="1"/>
  <c r="J12" i="1" s="1"/>
  <c r="I14" i="1"/>
  <c r="I12" i="1"/>
  <c r="K15" i="1"/>
  <c r="I17" i="1"/>
  <c r="I13" i="1"/>
  <c r="J9" i="1"/>
  <c r="I9" i="1"/>
  <c r="K9" i="1"/>
  <c r="K8" i="1"/>
  <c r="J8" i="1"/>
  <c r="I8" i="1"/>
  <c r="K6" i="1"/>
  <c r="K5" i="1"/>
  <c r="K7" i="1"/>
  <c r="J7" i="1"/>
  <c r="I7" i="1"/>
  <c r="I6" i="1"/>
  <c r="D13" i="2" l="1"/>
  <c r="D9" i="2"/>
  <c r="D12" i="2"/>
  <c r="L3" i="2"/>
  <c r="C13" i="2" s="1"/>
  <c r="C8" i="2"/>
  <c r="B13" i="2"/>
  <c r="B12" i="2"/>
  <c r="B8" i="2"/>
  <c r="J3" i="2"/>
  <c r="E15" i="1" s="1"/>
  <c r="J15" i="1" s="1"/>
  <c r="B9" i="2"/>
  <c r="G9" i="2" s="1"/>
  <c r="G8" i="2"/>
  <c r="E3" i="2"/>
  <c r="G3" i="2" s="1"/>
  <c r="D3" i="2"/>
  <c r="C3" i="2"/>
  <c r="C12" i="2" l="1"/>
  <c r="K3" i="2"/>
  <c r="M3" i="2"/>
  <c r="E8" i="2"/>
  <c r="E9" i="2"/>
  <c r="F8" i="2"/>
  <c r="F9" i="2"/>
  <c r="D8" i="2" l="1"/>
  <c r="C4" i="4"/>
  <c r="B4" i="4"/>
  <c r="I11" i="1"/>
  <c r="I10" i="1"/>
  <c r="C42" i="1" l="1"/>
  <c r="C41" i="1"/>
  <c r="E41" i="1"/>
  <c r="E42" i="1"/>
  <c r="F42" i="1"/>
  <c r="F41" i="1"/>
  <c r="I4" i="1"/>
  <c r="J4" i="1"/>
  <c r="C9" i="2"/>
  <c r="F47" i="1" l="1"/>
  <c r="H47" i="1"/>
  <c r="E46" i="1"/>
  <c r="G46" i="1"/>
  <c r="F46" i="1"/>
  <c r="H46" i="1"/>
  <c r="E47" i="1"/>
  <c r="G47" i="1"/>
  <c r="H42" i="1"/>
  <c r="D41" i="1"/>
  <c r="H41" i="1" s="1"/>
  <c r="G41" i="1"/>
  <c r="G42" i="1"/>
  <c r="I5" i="1"/>
</calcChain>
</file>

<file path=xl/sharedStrings.xml><?xml version="1.0" encoding="utf-8"?>
<sst xmlns="http://schemas.openxmlformats.org/spreadsheetml/2006/main" count="396" uniqueCount="282">
  <si>
    <t>New NDC max</t>
  </si>
  <si>
    <t>China</t>
  </si>
  <si>
    <t>Former NDC (tool)</t>
  </si>
  <si>
    <t>Change from NDC baseline (min)</t>
  </si>
  <si>
    <t>Change from NDC baseline (max)</t>
  </si>
  <si>
    <t>Brazil</t>
  </si>
  <si>
    <t>Russia</t>
  </si>
  <si>
    <t>Argentina</t>
  </si>
  <si>
    <t>Chile</t>
  </si>
  <si>
    <t>Norway</t>
  </si>
  <si>
    <t>UK</t>
  </si>
  <si>
    <t>EU27</t>
  </si>
  <si>
    <t>Ukraine</t>
  </si>
  <si>
    <t>1990 level</t>
  </si>
  <si>
    <t>USA</t>
  </si>
  <si>
    <t>US ref year 2005 total emissions</t>
  </si>
  <si>
    <t>2025 low</t>
  </si>
  <si>
    <t>2025 high</t>
  </si>
  <si>
    <t>2030 low</t>
  </si>
  <si>
    <t>2030 high</t>
  </si>
  <si>
    <t>2030 low no lulucf</t>
  </si>
  <si>
    <t>2030 high no lulucf</t>
  </si>
  <si>
    <t>2030 lulucf max</t>
  </si>
  <si>
    <t>2030 lulucf min</t>
  </si>
  <si>
    <t>2030 low ambition</t>
  </si>
  <si>
    <t>50% target</t>
  </si>
  <si>
    <t>CPP low</t>
  </si>
  <si>
    <t>CPP high</t>
  </si>
  <si>
    <t>Change from old NDC</t>
  </si>
  <si>
    <t>low</t>
  </si>
  <si>
    <t>high</t>
  </si>
  <si>
    <t>Change from CPP</t>
  </si>
  <si>
    <t>Low (min sink)</t>
  </si>
  <si>
    <t>High (max sink)</t>
  </si>
  <si>
    <t>2030 high ambition (max sink)</t>
  </si>
  <si>
    <t>Post COVID</t>
  </si>
  <si>
    <t>G7</t>
  </si>
  <si>
    <t>CAN</t>
  </si>
  <si>
    <t>GBR</t>
  </si>
  <si>
    <t>52% target</t>
  </si>
  <si>
    <t>JPN</t>
  </si>
  <si>
    <t>Old NDC CAT website (min)</t>
  </si>
  <si>
    <t>Change from NDC baseline (min CAT)</t>
  </si>
  <si>
    <t>Change from NDC baseline (max CAT)</t>
  </si>
  <si>
    <t>Max change from tool baseline</t>
  </si>
  <si>
    <t>Japan</t>
  </si>
  <si>
    <t>Canada</t>
  </si>
  <si>
    <t>EU28</t>
  </si>
  <si>
    <t>N/A</t>
  </si>
  <si>
    <t>Comments</t>
  </si>
  <si>
    <t>Old NDC  CAT website (max)</t>
  </si>
  <si>
    <t>Not_calculated</t>
  </si>
  <si>
    <t>New NDC (CAT website)</t>
  </si>
  <si>
    <t>New NDC max (CAT website)</t>
  </si>
  <si>
    <t>New NDC (own calculations)</t>
  </si>
  <si>
    <t>New target reduces by at least 0.28 Gt; own calcs assume lulucf of -37</t>
  </si>
  <si>
    <t>Colombia</t>
  </si>
  <si>
    <t>Russia in the tool is CPP (pre COVID)</t>
  </si>
  <si>
    <t>USA in the tool is CPP (pre COVID); USA old NDC is calculated in next sheet based on linear trajectory from 2025 to 2050</t>
  </si>
  <si>
    <t>IND</t>
  </si>
  <si>
    <t>ZAF</t>
  </si>
  <si>
    <t>IDN</t>
  </si>
  <si>
    <t>AUS</t>
  </si>
  <si>
    <t>KOR</t>
  </si>
  <si>
    <t>ARG</t>
  </si>
  <si>
    <t>MEX</t>
  </si>
  <si>
    <t>SAU</t>
  </si>
  <si>
    <t>TUR</t>
  </si>
  <si>
    <t>Counry</t>
  </si>
  <si>
    <t>ETH</t>
  </si>
  <si>
    <t>KEN</t>
  </si>
  <si>
    <t>NEP</t>
  </si>
  <si>
    <t>PER</t>
  </si>
  <si>
    <t>UAE</t>
  </si>
  <si>
    <t>CRI</t>
  </si>
  <si>
    <t>G20 countries without an update</t>
  </si>
  <si>
    <t>Costa Rica</t>
  </si>
  <si>
    <t>Unconditional target added</t>
  </si>
  <si>
    <t>Conditional target changed from 110 to 108; unconditional target added</t>
  </si>
  <si>
    <t>More transparent</t>
  </si>
  <si>
    <t>Non-G20 CAT countries with an update (not quantifiable)</t>
  </si>
  <si>
    <t>Peru</t>
  </si>
  <si>
    <t>New quantifiable target (change from 238 to 246, but 238 is CAT calculated)</t>
  </si>
  <si>
    <t>South Africa</t>
  </si>
  <si>
    <t>ZAF in tool is CPP (pre COVID)</t>
  </si>
  <si>
    <t>CPP min (preCOVID)</t>
  </si>
  <si>
    <t>CPP max (preCOVID)</t>
  </si>
  <si>
    <t>Mexico</t>
  </si>
  <si>
    <t>CHN</t>
  </si>
  <si>
    <t>BRA</t>
  </si>
  <si>
    <t>RUS</t>
  </si>
  <si>
    <t>CHL</t>
  </si>
  <si>
    <t>NOR</t>
  </si>
  <si>
    <t>UKR</t>
  </si>
  <si>
    <t>COL</t>
  </si>
  <si>
    <t>Total G20</t>
  </si>
  <si>
    <t xml:space="preserve">New NDC </t>
  </si>
  <si>
    <t>G7+EU</t>
  </si>
  <si>
    <t>2010 levels</t>
  </si>
  <si>
    <t>Historical data</t>
  </si>
  <si>
    <t>region</t>
  </si>
  <si>
    <t>ABW</t>
  </si>
  <si>
    <t>AFG</t>
  </si>
  <si>
    <t>AGO</t>
  </si>
  <si>
    <t>AIA</t>
  </si>
  <si>
    <t>ALB</t>
  </si>
  <si>
    <t>AND</t>
  </si>
  <si>
    <t>ARE</t>
  </si>
  <si>
    <t>ARM</t>
  </si>
  <si>
    <t>ATA</t>
  </si>
  <si>
    <t>ATG</t>
  </si>
  <si>
    <t>AZE</t>
  </si>
  <si>
    <t>BDI</t>
  </si>
  <si>
    <t>BEN</t>
  </si>
  <si>
    <t>BFA</t>
  </si>
  <si>
    <t>BGD</t>
  </si>
  <si>
    <t>BHR</t>
  </si>
  <si>
    <t>BHS</t>
  </si>
  <si>
    <t>BIH</t>
  </si>
  <si>
    <t>BLR</t>
  </si>
  <si>
    <t>BLZ</t>
  </si>
  <si>
    <t>BOL</t>
  </si>
  <si>
    <t>BRB</t>
  </si>
  <si>
    <t>BRN</t>
  </si>
  <si>
    <t>BTN</t>
  </si>
  <si>
    <t>BWA</t>
  </si>
  <si>
    <t>CAF</t>
  </si>
  <si>
    <t>CHE</t>
  </si>
  <si>
    <t>CIV</t>
  </si>
  <si>
    <t>CMR</t>
  </si>
  <si>
    <t>COD</t>
  </si>
  <si>
    <t>COG</t>
  </si>
  <si>
    <t>COK</t>
  </si>
  <si>
    <t>COM</t>
  </si>
  <si>
    <t>CPV</t>
  </si>
  <si>
    <t>CUB</t>
  </si>
  <si>
    <t>DJI</t>
  </si>
  <si>
    <t>DMA</t>
  </si>
  <si>
    <t>DOM</t>
  </si>
  <si>
    <t>DZA</t>
  </si>
  <si>
    <t>ECU</t>
  </si>
  <si>
    <t>EGY</t>
  </si>
  <si>
    <t>ERI</t>
  </si>
  <si>
    <t>FJI</t>
  </si>
  <si>
    <t>FSM</t>
  </si>
  <si>
    <t>GAB</t>
  </si>
  <si>
    <t>GEO</t>
  </si>
  <si>
    <t>GHA</t>
  </si>
  <si>
    <t>GIN</t>
  </si>
  <si>
    <t>GMB</t>
  </si>
  <si>
    <t>GNB</t>
  </si>
  <si>
    <t>GNQ</t>
  </si>
  <si>
    <t>GRD</t>
  </si>
  <si>
    <t>GTM</t>
  </si>
  <si>
    <t>GUY</t>
  </si>
  <si>
    <t>HKG</t>
  </si>
  <si>
    <t>HND</t>
  </si>
  <si>
    <t>HTI</t>
  </si>
  <si>
    <t>IRN</t>
  </si>
  <si>
    <t>IRQ</t>
  </si>
  <si>
    <t>ISL</t>
  </si>
  <si>
    <t>ISR</t>
  </si>
  <si>
    <t>JAM</t>
  </si>
  <si>
    <t>JOR</t>
  </si>
  <si>
    <t>KAZ</t>
  </si>
  <si>
    <t>KGZ</t>
  </si>
  <si>
    <t>KHM</t>
  </si>
  <si>
    <t>KIR</t>
  </si>
  <si>
    <t>KNA</t>
  </si>
  <si>
    <t>KWT</t>
  </si>
  <si>
    <t>LAO</t>
  </si>
  <si>
    <t>LBN</t>
  </si>
  <si>
    <t>LBR</t>
  </si>
  <si>
    <t>LBY</t>
  </si>
  <si>
    <t>LCA</t>
  </si>
  <si>
    <t>LIE</t>
  </si>
  <si>
    <t>LKA</t>
  </si>
  <si>
    <t>LSO</t>
  </si>
  <si>
    <t>MAC</t>
  </si>
  <si>
    <t>MAR</t>
  </si>
  <si>
    <t>MCO</t>
  </si>
  <si>
    <t>MDA</t>
  </si>
  <si>
    <t>MDG</t>
  </si>
  <si>
    <t>MDV</t>
  </si>
  <si>
    <t>MHL</t>
  </si>
  <si>
    <t>MKD</t>
  </si>
  <si>
    <t>MLI</t>
  </si>
  <si>
    <t>MMR</t>
  </si>
  <si>
    <t>MNE</t>
  </si>
  <si>
    <t>MNG</t>
  </si>
  <si>
    <t>MOZ</t>
  </si>
  <si>
    <t>MRT</t>
  </si>
  <si>
    <t>MUS</t>
  </si>
  <si>
    <t>MWI</t>
  </si>
  <si>
    <t>MYS</t>
  </si>
  <si>
    <t>NAM</t>
  </si>
  <si>
    <t>NER</t>
  </si>
  <si>
    <t>NGA</t>
  </si>
  <si>
    <t>NIC</t>
  </si>
  <si>
    <t>NIU</t>
  </si>
  <si>
    <t>NPL</t>
  </si>
  <si>
    <t>NRU</t>
  </si>
  <si>
    <t>NZL</t>
  </si>
  <si>
    <t>OMN</t>
  </si>
  <si>
    <t>PAK</t>
  </si>
  <si>
    <t>PAN</t>
  </si>
  <si>
    <t>PCN</t>
  </si>
  <si>
    <t>PHL</t>
  </si>
  <si>
    <t>PLW</t>
  </si>
  <si>
    <t>PNG</t>
  </si>
  <si>
    <t>PRK</t>
  </si>
  <si>
    <t>PRY</t>
  </si>
  <si>
    <t>QAT</t>
  </si>
  <si>
    <t>RWA</t>
  </si>
  <si>
    <t>SDN</t>
  </si>
  <si>
    <t>SEN</t>
  </si>
  <si>
    <t>SGP</t>
  </si>
  <si>
    <t>SHN</t>
  </si>
  <si>
    <t>SLB</t>
  </si>
  <si>
    <t>SLE</t>
  </si>
  <si>
    <t>SLV</t>
  </si>
  <si>
    <t>SMR</t>
  </si>
  <si>
    <t>SOM</t>
  </si>
  <si>
    <t>SRB</t>
  </si>
  <si>
    <t>SSD</t>
  </si>
  <si>
    <t>STP</t>
  </si>
  <si>
    <t>SUR</t>
  </si>
  <si>
    <t>SWZ</t>
  </si>
  <si>
    <t>SYC</t>
  </si>
  <si>
    <t>SYR</t>
  </si>
  <si>
    <t>TCA</t>
  </si>
  <si>
    <t>TCD</t>
  </si>
  <si>
    <t>TGO</t>
  </si>
  <si>
    <t>THA</t>
  </si>
  <si>
    <t>TJK</t>
  </si>
  <si>
    <t>TKL</t>
  </si>
  <si>
    <t>TKM</t>
  </si>
  <si>
    <t>TLS</t>
  </si>
  <si>
    <t>TON</t>
  </si>
  <si>
    <t>TTO</t>
  </si>
  <si>
    <t>TUN</t>
  </si>
  <si>
    <t>TUV</t>
  </si>
  <si>
    <t>TWN</t>
  </si>
  <si>
    <t>TZA</t>
  </si>
  <si>
    <t>UGA</t>
  </si>
  <si>
    <t>URY</t>
  </si>
  <si>
    <t>UZB</t>
  </si>
  <si>
    <t>VAT</t>
  </si>
  <si>
    <t>VCT</t>
  </si>
  <si>
    <t>VEN</t>
  </si>
  <si>
    <t>VGB</t>
  </si>
  <si>
    <t>VNM</t>
  </si>
  <si>
    <t>VUT</t>
  </si>
  <si>
    <t>WSM</t>
  </si>
  <si>
    <t>YEM</t>
  </si>
  <si>
    <t>ZMB</t>
  </si>
  <si>
    <t>ZWE</t>
  </si>
  <si>
    <t>Type</t>
  </si>
  <si>
    <t>G20</t>
  </si>
  <si>
    <t>Change from 2010 (min)</t>
  </si>
  <si>
    <t>Change from 2010 (max)</t>
  </si>
  <si>
    <t>All</t>
  </si>
  <si>
    <t>2020 levels</t>
  </si>
  <si>
    <t>Change from 2020</t>
  </si>
  <si>
    <t>Comparing with historical</t>
  </si>
  <si>
    <t>Change from 2020 (min)</t>
  </si>
  <si>
    <t>Change from 2020 (max)</t>
  </si>
  <si>
    <t>Source: CAT_2020_09, KYOTOGHG excl LULUCF</t>
  </si>
  <si>
    <t xml:space="preserve">Percentage of total 2020 emissions excl LULUCF and bunkers </t>
  </si>
  <si>
    <t>Strengthened NDC?</t>
  </si>
  <si>
    <t>Y</t>
  </si>
  <si>
    <t>N</t>
  </si>
  <si>
    <t>G20 with strenthened NDC</t>
  </si>
  <si>
    <t>G7+EU with strengthened NDC</t>
  </si>
  <si>
    <t>Percentage of emissions covered by a strenthened NDC</t>
  </si>
  <si>
    <t>G7 CAT check</t>
  </si>
  <si>
    <t>Website</t>
  </si>
  <si>
    <t>country</t>
  </si>
  <si>
    <t>NDC</t>
  </si>
  <si>
    <t>NDC_max</t>
  </si>
  <si>
    <t>NDC_old</t>
  </si>
  <si>
    <t>NDC_old_max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</si>
</sst>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</cellStyleXfs>
  <cellXfs count="47">
    <xf numFmtId="0" fontId="0" fillId="0" borderId="0" xfId="0"/>
    <xf numFmtId="9" fontId="0" fillId="0" borderId="0" xfId="1" applyFont="1"/>
    <xf numFmtId="0" fontId="0" fillId="2" borderId="0" xfId="0" applyFill="1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/>
    <xf numFmtId="0" fontId="0" fillId="0" borderId="0" xfId="0" applyFill="1"/>
    <xf numFmtId="0" fontId="2" fillId="0" borderId="3" xfId="0" applyFont="1" applyBorder="1"/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0" xfId="0" applyBorder="1"/>
    <xf numFmtId="0" fontId="0" fillId="0" borderId="0" xfId="0" applyFill="1" applyBorder="1"/>
    <xf numFmtId="9" fontId="0" fillId="0" borderId="0" xfId="1" applyFont="1" applyFill="1" applyBorder="1"/>
    <xf numFmtId="9" fontId="0" fillId="0" borderId="0" xfId="1" applyFont="1" applyBorder="1"/>
    <xf numFmtId="2" fontId="0" fillId="0" borderId="0" xfId="1" applyNumberFormat="1" applyFont="1" applyBorder="1"/>
    <xf numFmtId="0" fontId="0" fillId="0" borderId="6" xfId="0" applyBorder="1"/>
    <xf numFmtId="9" fontId="0" fillId="0" borderId="0" xfId="1" applyNumberFormat="1" applyFont="1" applyBorder="1"/>
    <xf numFmtId="0" fontId="0" fillId="3" borderId="0" xfId="0" applyFill="1" applyBorder="1"/>
    <xf numFmtId="0" fontId="0" fillId="0" borderId="1" xfId="0" applyBorder="1"/>
    <xf numFmtId="9" fontId="0" fillId="0" borderId="1" xfId="1" applyNumberFormat="1" applyFont="1" applyBorder="1"/>
    <xf numFmtId="9" fontId="0" fillId="0" borderId="1" xfId="1" applyFont="1" applyBorder="1"/>
    <xf numFmtId="0" fontId="3" fillId="0" borderId="0" xfId="0" applyFont="1" applyBorder="1"/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6" xfId="0" applyFill="1" applyBorder="1"/>
    <xf numFmtId="0" fontId="0" fillId="0" borderId="8" xfId="0" applyFill="1" applyBorder="1"/>
    <xf numFmtId="0" fontId="0" fillId="0" borderId="1" xfId="0" applyFill="1" applyBorder="1"/>
    <xf numFmtId="0" fontId="2" fillId="0" borderId="4" xfId="0" applyFont="1" applyBorder="1"/>
    <xf numFmtId="1" fontId="0" fillId="0" borderId="0" xfId="0" applyNumberFormat="1"/>
    <xf numFmtId="0" fontId="4" fillId="0" borderId="2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5" fillId="0" borderId="0" xfId="0" applyFont="1"/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wrapText="1"/>
    </xf>
    <xf numFmtId="0" fontId="6" fillId="0" borderId="2" xfId="0" applyFont="1" applyBorder="1" applyAlignment="1">
      <alignment horizontal="center" vertical="top"/>
    </xf>
    <xf numFmtId="0" fontId="2" fillId="4" borderId="0" xfId="0" applyFont="1" applyFill="1" applyBorder="1" applyAlignment="1">
      <alignment wrapText="1"/>
    </xf>
    <xf numFmtId="9" fontId="0" fillId="4" borderId="0" xfId="1" applyFont="1" applyFill="1"/>
    <xf numFmtId="0" fontId="2" fillId="5" borderId="0" xfId="0" applyFont="1" applyFill="1" applyAlignment="1">
      <alignment wrapText="1"/>
    </xf>
    <xf numFmtId="9" fontId="0" fillId="5" borderId="0" xfId="1" applyFont="1" applyFill="1"/>
    <xf numFmtId="0" fontId="2" fillId="6" borderId="4" xfId="0" applyFont="1" applyFill="1" applyBorder="1" applyAlignment="1">
      <alignment wrapText="1"/>
    </xf>
    <xf numFmtId="9" fontId="0" fillId="6" borderId="0" xfId="1" applyFont="1" applyFill="1"/>
    <xf numFmtId="0" fontId="2" fillId="0" borderId="4" xfId="0" applyFont="1" applyFill="1" applyBorder="1" applyAlignment="1">
      <alignment wrapText="1"/>
    </xf>
    <xf numFmtId="1" fontId="0" fillId="0" borderId="0" xfId="0" applyNumberFormat="1" applyFill="1"/>
    <xf numFmtId="0" fontId="1" fillId="7" borderId="0" xfId="2"/>
    <xf numFmtId="1" fontId="1" fillId="7" borderId="0" xfId="2" applyNumberFormat="1"/>
    <xf numFmtId="0" fontId="1" fillId="8" borderId="0" xfId="3"/>
  </cellXfs>
  <cellStyles count="4">
    <cellStyle name="20% - Accent6" xfId="2" builtinId="50"/>
    <cellStyle name="40% - Accent6" xfId="3" builtinId="51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727E6-109C-A244-AEEB-0B3CF87D4871}">
  <dimension ref="A2:M58"/>
  <sheetViews>
    <sheetView tabSelected="1" zoomScale="140" zoomScaleNormal="14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4" sqref="E4"/>
    </sheetView>
  </sheetViews>
  <sheetFormatPr baseColWidth="10" defaultRowHeight="16" x14ac:dyDescent="0.2"/>
  <cols>
    <col min="3" max="3" width="16.5" customWidth="1"/>
    <col min="4" max="5" width="12.33203125" bestFit="1" customWidth="1"/>
    <col min="8" max="8" width="12.1640625" customWidth="1"/>
    <col min="13" max="13" width="42.6640625" customWidth="1"/>
  </cols>
  <sheetData>
    <row r="2" spans="1:13" ht="68" x14ac:dyDescent="0.2">
      <c r="A2" s="7" t="s">
        <v>68</v>
      </c>
      <c r="B2" s="27"/>
      <c r="C2" s="8" t="s">
        <v>2</v>
      </c>
      <c r="D2" s="8" t="s">
        <v>41</v>
      </c>
      <c r="E2" s="8" t="s">
        <v>50</v>
      </c>
      <c r="F2" s="8" t="s">
        <v>52</v>
      </c>
      <c r="G2" s="8" t="s">
        <v>53</v>
      </c>
      <c r="H2" s="8" t="s">
        <v>54</v>
      </c>
      <c r="I2" s="8" t="s">
        <v>42</v>
      </c>
      <c r="J2" s="8" t="s">
        <v>43</v>
      </c>
      <c r="K2" s="8" t="s">
        <v>44</v>
      </c>
      <c r="L2" s="8" t="s">
        <v>13</v>
      </c>
      <c r="M2" s="9" t="s">
        <v>49</v>
      </c>
    </row>
    <row r="3" spans="1:13" x14ac:dyDescent="0.2">
      <c r="A3" s="24" t="s">
        <v>47</v>
      </c>
      <c r="B3" s="11" t="s">
        <v>47</v>
      </c>
      <c r="C3" s="10" t="s">
        <v>48</v>
      </c>
      <c r="D3" s="11">
        <v>3391</v>
      </c>
      <c r="E3" s="11">
        <v>3419</v>
      </c>
      <c r="F3" s="11"/>
      <c r="G3" s="11"/>
      <c r="H3" s="11"/>
      <c r="I3" s="12"/>
      <c r="J3" s="12"/>
      <c r="K3" s="13"/>
      <c r="L3" s="14">
        <v>5652</v>
      </c>
      <c r="M3" s="22"/>
    </row>
    <row r="4" spans="1:13" x14ac:dyDescent="0.2">
      <c r="A4" s="15" t="s">
        <v>11</v>
      </c>
      <c r="B4" s="10" t="s">
        <v>11</v>
      </c>
      <c r="C4" s="10">
        <v>3036</v>
      </c>
      <c r="D4" s="10">
        <f>D3-D13</f>
        <v>3035</v>
      </c>
      <c r="E4" s="10">
        <f>E3-E13</f>
        <v>3063</v>
      </c>
      <c r="F4" s="10">
        <v>2194</v>
      </c>
      <c r="G4" s="10">
        <v>2329</v>
      </c>
      <c r="H4" s="10"/>
      <c r="I4" s="16">
        <f>(D4-F4)/D4</f>
        <v>0.2771004942339374</v>
      </c>
      <c r="J4" s="13">
        <f>(D4-G4)/D4</f>
        <v>0.23261943986820427</v>
      </c>
      <c r="K4" s="10"/>
      <c r="L4" s="14"/>
      <c r="M4" s="22"/>
    </row>
    <row r="5" spans="1:13" x14ac:dyDescent="0.2">
      <c r="A5" s="15" t="s">
        <v>1</v>
      </c>
      <c r="B5" s="10" t="s">
        <v>88</v>
      </c>
      <c r="C5" s="10">
        <v>14469</v>
      </c>
      <c r="D5" s="10">
        <v>13744</v>
      </c>
      <c r="E5" s="10">
        <v>15194</v>
      </c>
      <c r="F5" s="10">
        <v>12921</v>
      </c>
      <c r="G5" s="10">
        <v>14419</v>
      </c>
      <c r="H5" s="10"/>
      <c r="I5" s="13">
        <f>(D5-F5)/D5</f>
        <v>5.988067520372526E-2</v>
      </c>
      <c r="J5" s="13">
        <f>(E5-G5)/G5</f>
        <v>5.3748526250086692E-2</v>
      </c>
      <c r="K5" s="13">
        <f>(C5-F5)/C5</f>
        <v>0.10698735227037114</v>
      </c>
      <c r="L5" s="10"/>
      <c r="M5" s="22"/>
    </row>
    <row r="6" spans="1:13" x14ac:dyDescent="0.2">
      <c r="A6" s="15" t="s">
        <v>5</v>
      </c>
      <c r="B6" s="11" t="s">
        <v>89</v>
      </c>
      <c r="C6" s="10">
        <v>890</v>
      </c>
      <c r="D6" s="10">
        <v>890</v>
      </c>
      <c r="E6" s="10">
        <f>D6</f>
        <v>890</v>
      </c>
      <c r="F6" s="10">
        <v>1307</v>
      </c>
      <c r="G6" s="10">
        <f>F6</f>
        <v>1307</v>
      </c>
      <c r="H6" s="10"/>
      <c r="I6" s="13">
        <f>(D6-F6)/D6</f>
        <v>-0.46853932584269664</v>
      </c>
      <c r="J6" s="10"/>
      <c r="K6" s="13">
        <f>(C6-F6)/C6</f>
        <v>-0.46853932584269664</v>
      </c>
      <c r="L6" s="10"/>
      <c r="M6" s="22"/>
    </row>
    <row r="7" spans="1:13" ht="17" x14ac:dyDescent="0.2">
      <c r="A7" s="15" t="s">
        <v>6</v>
      </c>
      <c r="B7" s="11" t="s">
        <v>90</v>
      </c>
      <c r="C7" s="11">
        <v>2297</v>
      </c>
      <c r="D7" s="10">
        <v>2423</v>
      </c>
      <c r="E7" s="10">
        <v>2578</v>
      </c>
      <c r="F7" s="10">
        <v>2423</v>
      </c>
      <c r="G7" s="10">
        <v>2423</v>
      </c>
      <c r="H7" s="10"/>
      <c r="I7" s="13">
        <f>(D7-F7)/D7</f>
        <v>0</v>
      </c>
      <c r="J7" s="13">
        <f>(E7-G7)/E7</f>
        <v>6.0124127230411169E-2</v>
      </c>
      <c r="K7" s="13">
        <f>(C7-F7)/C7</f>
        <v>-5.4854157596865474E-2</v>
      </c>
      <c r="L7" s="10"/>
      <c r="M7" s="22" t="s">
        <v>57</v>
      </c>
    </row>
    <row r="8" spans="1:13" ht="34" x14ac:dyDescent="0.2">
      <c r="A8" s="15" t="s">
        <v>45</v>
      </c>
      <c r="B8" s="11" t="s">
        <v>40</v>
      </c>
      <c r="C8" s="10">
        <v>1054</v>
      </c>
      <c r="D8" s="10">
        <v>1079</v>
      </c>
      <c r="E8" s="10">
        <v>1079</v>
      </c>
      <c r="F8" s="21" t="s">
        <v>51</v>
      </c>
      <c r="G8" s="21" t="s">
        <v>51</v>
      </c>
      <c r="H8" s="10">
        <v>797</v>
      </c>
      <c r="I8" s="13">
        <f>(D8-H8)/D8</f>
        <v>0.26135310472659873</v>
      </c>
      <c r="J8" s="13">
        <f>(E8-H8)/E8</f>
        <v>0.26135310472659873</v>
      </c>
      <c r="K8" s="13">
        <f>(C8-H8)/C8</f>
        <v>0.24383301707779886</v>
      </c>
      <c r="L8" s="10"/>
      <c r="M8" s="22" t="s">
        <v>55</v>
      </c>
    </row>
    <row r="9" spans="1:13" x14ac:dyDescent="0.2">
      <c r="A9" s="15" t="s">
        <v>46</v>
      </c>
      <c r="B9" s="11" t="s">
        <v>37</v>
      </c>
      <c r="C9" s="10">
        <v>526</v>
      </c>
      <c r="D9" s="10">
        <v>526</v>
      </c>
      <c r="E9" s="10">
        <v>526</v>
      </c>
      <c r="F9" s="10">
        <v>428</v>
      </c>
      <c r="G9" s="10">
        <v>465</v>
      </c>
      <c r="H9" s="10"/>
      <c r="I9" s="13">
        <f>(D9-F9)/D9</f>
        <v>0.18631178707224336</v>
      </c>
      <c r="J9" s="13">
        <f>(E9-G9)/E9</f>
        <v>0.11596958174904944</v>
      </c>
      <c r="K9" s="13">
        <f>(C9-F9)/C9</f>
        <v>0.18631178707224336</v>
      </c>
      <c r="L9" s="10"/>
      <c r="M9" s="22"/>
    </row>
    <row r="10" spans="1:13" x14ac:dyDescent="0.2">
      <c r="A10" s="15" t="s">
        <v>7</v>
      </c>
      <c r="B10" s="11" t="s">
        <v>64</v>
      </c>
      <c r="C10" s="10" t="s">
        <v>48</v>
      </c>
      <c r="D10" s="10">
        <v>422</v>
      </c>
      <c r="E10" s="10">
        <f>D10</f>
        <v>422</v>
      </c>
      <c r="F10" s="10">
        <v>313</v>
      </c>
      <c r="G10" s="10">
        <f>F10</f>
        <v>313</v>
      </c>
      <c r="H10" s="10"/>
      <c r="I10" s="13">
        <f t="shared" ref="I10:I20" si="0">(D10-F10)/D10</f>
        <v>0.25829383886255924</v>
      </c>
      <c r="J10" s="10"/>
      <c r="K10" s="10"/>
      <c r="L10" s="10"/>
      <c r="M10" s="22"/>
    </row>
    <row r="11" spans="1:13" x14ac:dyDescent="0.2">
      <c r="A11" s="15" t="s">
        <v>8</v>
      </c>
      <c r="B11" s="11" t="s">
        <v>91</v>
      </c>
      <c r="C11" s="10" t="s">
        <v>48</v>
      </c>
      <c r="D11" s="10">
        <v>131</v>
      </c>
      <c r="E11" s="10">
        <f>D11</f>
        <v>131</v>
      </c>
      <c r="F11" s="10">
        <v>95</v>
      </c>
      <c r="G11" s="10">
        <f>F11</f>
        <v>95</v>
      </c>
      <c r="H11" s="10"/>
      <c r="I11" s="16">
        <f t="shared" si="0"/>
        <v>0.27480916030534353</v>
      </c>
      <c r="J11" s="10"/>
      <c r="K11" s="10"/>
      <c r="L11" s="10"/>
      <c r="M11" s="22"/>
    </row>
    <row r="12" spans="1:13" x14ac:dyDescent="0.2">
      <c r="A12" s="15" t="s">
        <v>9</v>
      </c>
      <c r="B12" s="11" t="s">
        <v>92</v>
      </c>
      <c r="C12" s="10" t="s">
        <v>48</v>
      </c>
      <c r="D12" s="10">
        <v>32.200000000000003</v>
      </c>
      <c r="E12" s="10">
        <f>D12</f>
        <v>32.200000000000003</v>
      </c>
      <c r="F12" s="10">
        <v>24.6</v>
      </c>
      <c r="G12" s="10">
        <v>27.2</v>
      </c>
      <c r="H12" s="10"/>
      <c r="I12" s="13">
        <f t="shared" si="0"/>
        <v>0.23602484472049692</v>
      </c>
      <c r="J12" s="13">
        <f>(E12-G12)/E12</f>
        <v>0.15527950310559016</v>
      </c>
      <c r="K12" s="10"/>
      <c r="L12" s="10"/>
      <c r="M12" s="22"/>
    </row>
    <row r="13" spans="1:13" x14ac:dyDescent="0.2">
      <c r="A13" s="15" t="s">
        <v>10</v>
      </c>
      <c r="B13" s="11" t="s">
        <v>38</v>
      </c>
      <c r="C13" s="10">
        <v>356</v>
      </c>
      <c r="D13" s="10">
        <v>356</v>
      </c>
      <c r="E13" s="10">
        <f>D13</f>
        <v>356</v>
      </c>
      <c r="F13" s="10">
        <v>251</v>
      </c>
      <c r="G13" s="10">
        <f>F13</f>
        <v>251</v>
      </c>
      <c r="H13" s="10"/>
      <c r="I13" s="13">
        <f t="shared" si="0"/>
        <v>0.2949438202247191</v>
      </c>
      <c r="J13" s="10"/>
      <c r="K13" s="10"/>
      <c r="L13" s="10"/>
      <c r="M13" s="22"/>
    </row>
    <row r="14" spans="1:13" x14ac:dyDescent="0.2">
      <c r="A14" s="15" t="s">
        <v>12</v>
      </c>
      <c r="B14" s="11" t="s">
        <v>93</v>
      </c>
      <c r="C14" s="10" t="s">
        <v>48</v>
      </c>
      <c r="D14" s="10">
        <v>544</v>
      </c>
      <c r="E14" s="10">
        <f>D14</f>
        <v>544</v>
      </c>
      <c r="F14" s="10">
        <v>332</v>
      </c>
      <c r="G14" s="10">
        <v>385</v>
      </c>
      <c r="H14" s="10"/>
      <c r="I14" s="13">
        <f t="shared" si="0"/>
        <v>0.38970588235294118</v>
      </c>
      <c r="J14" s="13">
        <f>(E14-G14)/E14</f>
        <v>0.2922794117647059</v>
      </c>
      <c r="K14" s="10"/>
      <c r="L14" s="10"/>
      <c r="M14" s="22"/>
    </row>
    <row r="15" spans="1:13" ht="51" x14ac:dyDescent="0.2">
      <c r="A15" s="15" t="s">
        <v>14</v>
      </c>
      <c r="B15" s="11" t="s">
        <v>14</v>
      </c>
      <c r="C15" s="10">
        <v>6385</v>
      </c>
      <c r="D15" s="17">
        <f>USA!K3</f>
        <v>4581.4319999999998</v>
      </c>
      <c r="E15" s="17">
        <f>USA!J3</f>
        <v>5057.6639999999998</v>
      </c>
      <c r="F15" s="10">
        <v>3715</v>
      </c>
      <c r="G15" s="10">
        <v>4219</v>
      </c>
      <c r="H15" s="10"/>
      <c r="I15" s="16">
        <f t="shared" si="0"/>
        <v>0.18911816218160607</v>
      </c>
      <c r="J15" s="13">
        <f>(E15-G15)/E15</f>
        <v>0.16582042618884921</v>
      </c>
      <c r="K15" s="13">
        <f>(C15-F15)/C15</f>
        <v>0.41816758026624901</v>
      </c>
      <c r="L15" s="10"/>
      <c r="M15" s="22" t="s">
        <v>58</v>
      </c>
    </row>
    <row r="16" spans="1:13" ht="17" x14ac:dyDescent="0.2">
      <c r="A16" s="15" t="s">
        <v>83</v>
      </c>
      <c r="B16" s="11" t="s">
        <v>60</v>
      </c>
      <c r="C16" s="17">
        <v>493</v>
      </c>
      <c r="D16" s="11">
        <v>414</v>
      </c>
      <c r="E16" s="11">
        <v>630</v>
      </c>
      <c r="F16" s="11">
        <v>414</v>
      </c>
      <c r="G16" s="11">
        <v>456</v>
      </c>
      <c r="H16" s="10"/>
      <c r="I16" s="13">
        <f t="shared" si="0"/>
        <v>0</v>
      </c>
      <c r="J16" s="13">
        <f>(E16-G16)/E16</f>
        <v>0.27619047619047621</v>
      </c>
      <c r="K16" s="13">
        <f>(C16-F16)/C16</f>
        <v>0.16024340770791076</v>
      </c>
      <c r="L16" s="10"/>
      <c r="M16" s="22" t="s">
        <v>84</v>
      </c>
    </row>
    <row r="17" spans="1:13" x14ac:dyDescent="0.2">
      <c r="A17" s="15" t="s">
        <v>56</v>
      </c>
      <c r="B17" s="11" t="s">
        <v>94</v>
      </c>
      <c r="C17" s="10" t="s">
        <v>48</v>
      </c>
      <c r="D17" s="10">
        <v>200</v>
      </c>
      <c r="E17" s="10">
        <v>200</v>
      </c>
      <c r="F17" s="10">
        <v>156</v>
      </c>
      <c r="G17" s="10">
        <v>188</v>
      </c>
      <c r="H17" s="10"/>
      <c r="I17" s="16">
        <f t="shared" si="0"/>
        <v>0.22</v>
      </c>
      <c r="J17" s="13">
        <f>(E17-G17)/E17</f>
        <v>0.06</v>
      </c>
      <c r="K17" s="10"/>
      <c r="L17" s="10"/>
      <c r="M17" s="22"/>
    </row>
    <row r="18" spans="1:13" x14ac:dyDescent="0.2">
      <c r="A18" s="24" t="s">
        <v>76</v>
      </c>
      <c r="B18" s="11" t="s">
        <v>74</v>
      </c>
      <c r="C18" s="11" t="s">
        <v>48</v>
      </c>
      <c r="D18" s="11">
        <v>12.6</v>
      </c>
      <c r="E18" s="10">
        <v>12.6</v>
      </c>
      <c r="F18" s="11">
        <v>12.3</v>
      </c>
      <c r="G18" s="11">
        <v>12.9</v>
      </c>
      <c r="H18" s="10"/>
      <c r="I18" s="16">
        <f t="shared" si="0"/>
        <v>2.3809523809523725E-2</v>
      </c>
      <c r="J18" s="13">
        <f>(E18-G18)/E18</f>
        <v>-2.3809523809523867E-2</v>
      </c>
      <c r="K18" s="10"/>
      <c r="L18" s="10"/>
      <c r="M18" s="22"/>
    </row>
    <row r="19" spans="1:13" x14ac:dyDescent="0.2">
      <c r="A19" s="24" t="s">
        <v>87</v>
      </c>
      <c r="B19" s="11" t="s">
        <v>65</v>
      </c>
      <c r="C19" s="11" t="s">
        <v>48</v>
      </c>
      <c r="D19" s="11">
        <v>763</v>
      </c>
      <c r="E19" s="10">
        <f>D19</f>
        <v>763</v>
      </c>
      <c r="F19" s="11">
        <v>774</v>
      </c>
      <c r="G19" s="11">
        <f>F19</f>
        <v>774</v>
      </c>
      <c r="H19" s="10"/>
      <c r="I19" s="16">
        <f t="shared" si="0"/>
        <v>-1.4416775884665793E-2</v>
      </c>
      <c r="J19" s="13"/>
      <c r="K19" s="10"/>
      <c r="L19" s="10"/>
      <c r="M19" s="22"/>
    </row>
    <row r="20" spans="1:13" x14ac:dyDescent="0.2">
      <c r="A20" s="25" t="s">
        <v>81</v>
      </c>
      <c r="B20" s="26" t="s">
        <v>72</v>
      </c>
      <c r="C20" s="26" t="s">
        <v>48</v>
      </c>
      <c r="D20" s="26">
        <v>131</v>
      </c>
      <c r="E20" s="18">
        <f>D20</f>
        <v>131</v>
      </c>
      <c r="F20" s="26">
        <v>123</v>
      </c>
      <c r="G20" s="26">
        <f>F20</f>
        <v>123</v>
      </c>
      <c r="H20" s="18"/>
      <c r="I20" s="19">
        <f t="shared" si="0"/>
        <v>6.1068702290076333E-2</v>
      </c>
      <c r="J20" s="20"/>
      <c r="K20" s="18"/>
      <c r="L20" s="18"/>
      <c r="M20" s="23"/>
    </row>
    <row r="23" spans="1:13" ht="68" x14ac:dyDescent="0.2">
      <c r="A23" s="5" t="s">
        <v>75</v>
      </c>
      <c r="B23" s="5"/>
      <c r="D23" s="8" t="s">
        <v>41</v>
      </c>
      <c r="E23" s="8" t="s">
        <v>50</v>
      </c>
      <c r="F23" s="3" t="s">
        <v>85</v>
      </c>
      <c r="G23" s="3" t="s">
        <v>86</v>
      </c>
      <c r="H23" s="8" t="s">
        <v>42</v>
      </c>
      <c r="I23" s="8" t="s">
        <v>43</v>
      </c>
    </row>
    <row r="24" spans="1:13" x14ac:dyDescent="0.2">
      <c r="A24" t="s">
        <v>59</v>
      </c>
      <c r="B24" t="s">
        <v>59</v>
      </c>
      <c r="D24">
        <v>5350</v>
      </c>
      <c r="E24">
        <v>5682</v>
      </c>
      <c r="F24">
        <v>4382</v>
      </c>
      <c r="G24">
        <v>4478</v>
      </c>
      <c r="H24" s="1">
        <f>(D24-F24)/D24</f>
        <v>0.18093457943925234</v>
      </c>
      <c r="I24" s="1">
        <f>(E24-G24)/E24</f>
        <v>0.21189721928898275</v>
      </c>
    </row>
    <row r="25" spans="1:13" x14ac:dyDescent="0.2">
      <c r="A25" t="s">
        <v>61</v>
      </c>
      <c r="B25" t="s">
        <v>61</v>
      </c>
      <c r="D25">
        <v>1629</v>
      </c>
      <c r="E25">
        <v>1817</v>
      </c>
      <c r="F25">
        <v>1357</v>
      </c>
      <c r="G25">
        <v>1401</v>
      </c>
      <c r="H25" s="1">
        <f>(D25-F25)/D25</f>
        <v>0.16697360343769183</v>
      </c>
      <c r="I25" s="1">
        <f>(E25-G25)/E25</f>
        <v>0.22894881673087508</v>
      </c>
    </row>
    <row r="26" spans="1:13" x14ac:dyDescent="0.2">
      <c r="A26" t="s">
        <v>62</v>
      </c>
      <c r="B26" t="s">
        <v>62</v>
      </c>
      <c r="D26">
        <v>445</v>
      </c>
      <c r="E26">
        <v>467</v>
      </c>
    </row>
    <row r="27" spans="1:13" x14ac:dyDescent="0.2">
      <c r="A27" t="s">
        <v>63</v>
      </c>
      <c r="B27" t="s">
        <v>63</v>
      </c>
      <c r="D27">
        <v>539</v>
      </c>
      <c r="E27">
        <v>539</v>
      </c>
    </row>
    <row r="28" spans="1:13" x14ac:dyDescent="0.2">
      <c r="A28" t="s">
        <v>66</v>
      </c>
      <c r="B28" t="s">
        <v>66</v>
      </c>
      <c r="D28">
        <v>861</v>
      </c>
      <c r="E28">
        <v>1105</v>
      </c>
    </row>
    <row r="29" spans="1:13" x14ac:dyDescent="0.2">
      <c r="A29" t="s">
        <v>67</v>
      </c>
      <c r="B29" t="s">
        <v>67</v>
      </c>
      <c r="D29">
        <v>999</v>
      </c>
      <c r="E29">
        <v>999</v>
      </c>
      <c r="F29">
        <v>780</v>
      </c>
      <c r="G29">
        <v>999</v>
      </c>
    </row>
    <row r="31" spans="1:13" x14ac:dyDescent="0.2">
      <c r="A31" s="5" t="s">
        <v>80</v>
      </c>
      <c r="B31" s="5"/>
      <c r="D31" s="5"/>
    </row>
    <row r="32" spans="1:13" x14ac:dyDescent="0.2">
      <c r="A32" t="s">
        <v>69</v>
      </c>
      <c r="B32" t="s">
        <v>69</v>
      </c>
      <c r="C32" t="s">
        <v>77</v>
      </c>
    </row>
    <row r="33" spans="1:13" x14ac:dyDescent="0.2">
      <c r="A33" t="s">
        <v>70</v>
      </c>
      <c r="B33" t="s">
        <v>70</v>
      </c>
      <c r="C33" t="s">
        <v>78</v>
      </c>
    </row>
    <row r="34" spans="1:13" x14ac:dyDescent="0.2">
      <c r="A34" t="s">
        <v>71</v>
      </c>
      <c r="B34" t="s">
        <v>71</v>
      </c>
      <c r="C34" t="s">
        <v>79</v>
      </c>
    </row>
    <row r="35" spans="1:13" x14ac:dyDescent="0.2">
      <c r="A35" t="s">
        <v>73</v>
      </c>
      <c r="B35" t="s">
        <v>73</v>
      </c>
      <c r="C35" t="s">
        <v>82</v>
      </c>
    </row>
    <row r="40" spans="1:13" ht="68" x14ac:dyDescent="0.2">
      <c r="C40" s="8" t="s">
        <v>41</v>
      </c>
      <c r="D40" s="8" t="s">
        <v>50</v>
      </c>
      <c r="E40" s="42" t="s">
        <v>96</v>
      </c>
      <c r="F40" s="42" t="s">
        <v>0</v>
      </c>
      <c r="G40" s="40" t="s">
        <v>3</v>
      </c>
      <c r="H40" s="40" t="s">
        <v>4</v>
      </c>
      <c r="L40" s="34" t="s">
        <v>262</v>
      </c>
      <c r="M40" s="34" t="s">
        <v>263</v>
      </c>
    </row>
    <row r="41" spans="1:13" x14ac:dyDescent="0.2">
      <c r="B41" t="s">
        <v>95</v>
      </c>
      <c r="C41" s="28">
        <f>SUM(D4:D10,D13,D15:D16,D19,D24:D29)</f>
        <v>38056.432000000001</v>
      </c>
      <c r="D41" s="28">
        <f>SUM(E4:E10,E13,E15:E16,E19,E24:E29)</f>
        <v>41167.664000000004</v>
      </c>
      <c r="E41" s="6">
        <f>SUM(F4:F7,$H$8,F9:F10,F13,F15:F16,F19,F24:F29)</f>
        <v>32056</v>
      </c>
      <c r="F41" s="6">
        <f>SUM(G4:G7,$H$8,G9:G10,G13,G15:G16,G19,G24:G29)</f>
        <v>34631</v>
      </c>
      <c r="G41" s="41">
        <f>(C41-E41)/C41</f>
        <v>0.15767195411277654</v>
      </c>
      <c r="H41" s="41">
        <f>(D41-F41)/D41</f>
        <v>0.15878151356851347</v>
      </c>
    </row>
    <row r="42" spans="1:13" x14ac:dyDescent="0.2">
      <c r="B42" t="s">
        <v>97</v>
      </c>
      <c r="C42" s="28">
        <f>SUM(D4,D8,D9,D13,D15)</f>
        <v>9577.4320000000007</v>
      </c>
      <c r="D42" s="28">
        <f>SUM(E4,E8,E9,E13,E15)</f>
        <v>10081.664000000001</v>
      </c>
      <c r="E42" s="43">
        <f>SUM(F4,$H$8,F9,F13,F15)</f>
        <v>7385</v>
      </c>
      <c r="F42" s="43">
        <f>SUM(G4,$H$8,G9,G13,G15)</f>
        <v>8061</v>
      </c>
      <c r="G42" s="41">
        <f>(C42-E42)/C42</f>
        <v>0.22891647781994176</v>
      </c>
      <c r="H42" s="41">
        <f>(D42-F42)/D42</f>
        <v>0.20042961161966918</v>
      </c>
    </row>
    <row r="43" spans="1:13" x14ac:dyDescent="0.2">
      <c r="C43" s="28"/>
      <c r="D43" s="28"/>
      <c r="E43" s="28"/>
      <c r="F43" s="28"/>
      <c r="G43" s="1"/>
      <c r="H43" s="1"/>
      <c r="I43" s="1"/>
      <c r="J43" s="1"/>
      <c r="L43" s="28"/>
    </row>
    <row r="44" spans="1:13" x14ac:dyDescent="0.2">
      <c r="A44" s="5" t="s">
        <v>264</v>
      </c>
      <c r="C44" s="28"/>
      <c r="D44" s="28"/>
      <c r="E44" s="28"/>
      <c r="F44" s="28"/>
      <c r="G44" s="1"/>
      <c r="H44" s="1"/>
      <c r="I44" s="1"/>
      <c r="J44" s="1"/>
      <c r="L44" s="28"/>
    </row>
    <row r="45" spans="1:13" ht="136" x14ac:dyDescent="0.2">
      <c r="C45" t="s">
        <v>98</v>
      </c>
      <c r="D45" t="s">
        <v>262</v>
      </c>
      <c r="E45" s="36" t="s">
        <v>259</v>
      </c>
      <c r="F45" s="36" t="s">
        <v>260</v>
      </c>
      <c r="G45" s="38" t="s">
        <v>265</v>
      </c>
      <c r="H45" s="38" t="s">
        <v>266</v>
      </c>
      <c r="I45" s="3" t="s">
        <v>268</v>
      </c>
      <c r="J45" s="3" t="s">
        <v>274</v>
      </c>
    </row>
    <row r="46" spans="1:13" x14ac:dyDescent="0.2">
      <c r="B46" t="s">
        <v>95</v>
      </c>
      <c r="C46" s="28">
        <f>'2010_emissions'!C186</f>
        <v>34220.3125</v>
      </c>
      <c r="D46" s="28">
        <f>'2010_emissions'!D186</f>
        <v>37516.375100000005</v>
      </c>
      <c r="E46" s="37">
        <f>($C46-E41)/$C46</f>
        <v>6.324642710378521E-2</v>
      </c>
      <c r="F46" s="37">
        <f>($C46-F41)/$C46</f>
        <v>-1.2001278480434684E-2</v>
      </c>
      <c r="G46" s="39">
        <f>($D46-E41)/$D46</f>
        <v>0.1455464469966877</v>
      </c>
      <c r="H46" s="39">
        <f>($D46-F41)/$D46</f>
        <v>7.6909751869924242E-2</v>
      </c>
      <c r="I46" s="1">
        <f>D46/'2010_emissions'!D188</f>
        <v>0.78623977255389699</v>
      </c>
      <c r="J46" s="1">
        <f>'2010_emissions'!C189/'2010_emissions'!C186</f>
        <v>0.80703418474042277</v>
      </c>
    </row>
    <row r="47" spans="1:13" x14ac:dyDescent="0.2">
      <c r="B47" t="s">
        <v>97</v>
      </c>
      <c r="C47" s="28">
        <f>'2010_emissions'!C187</f>
        <v>13773.500599999999</v>
      </c>
      <c r="D47" s="28">
        <f>'2010_emissions'!D187</f>
        <v>12399.973900000001</v>
      </c>
      <c r="E47" s="37">
        <f>($C47-E42)/$C47</f>
        <v>0.46382548529456624</v>
      </c>
      <c r="F47" s="37">
        <f>($C47-F42)/$C47</f>
        <v>0.41474573283134714</v>
      </c>
      <c r="G47" s="39">
        <f>($D47-E42)/$D47</f>
        <v>0.40443423030108155</v>
      </c>
      <c r="H47" s="39">
        <f>($D47-F42)/$D47</f>
        <v>0.34991798652092326</v>
      </c>
      <c r="I47" s="1">
        <f>'2010_emissions'!D189/'2010_emissions'!D186</f>
        <v>0.77720252349220165</v>
      </c>
      <c r="J47" s="1">
        <f>'2010_emissions'!D190/'2010_emissions'!D187</f>
        <v>1</v>
      </c>
    </row>
    <row r="51" spans="1:3" x14ac:dyDescent="0.2">
      <c r="A51" t="s">
        <v>275</v>
      </c>
      <c r="B51" t="s">
        <v>276</v>
      </c>
    </row>
    <row r="52" spans="1:3" x14ac:dyDescent="0.2">
      <c r="A52" t="s">
        <v>38</v>
      </c>
      <c r="C52">
        <v>-146</v>
      </c>
    </row>
    <row r="53" spans="1:3" x14ac:dyDescent="0.2">
      <c r="A53" t="s">
        <v>11</v>
      </c>
      <c r="C53">
        <v>382</v>
      </c>
    </row>
    <row r="54" spans="1:3" x14ac:dyDescent="0.2">
      <c r="A54" t="s">
        <v>47</v>
      </c>
      <c r="B54">
        <v>806</v>
      </c>
    </row>
    <row r="55" spans="1:3" x14ac:dyDescent="0.2">
      <c r="A55" t="s">
        <v>14</v>
      </c>
      <c r="B55">
        <v>1836</v>
      </c>
      <c r="C55">
        <v>1894</v>
      </c>
    </row>
    <row r="56" spans="1:3" x14ac:dyDescent="0.2">
      <c r="A56" t="s">
        <v>40</v>
      </c>
      <c r="B56">
        <v>-173</v>
      </c>
      <c r="C56">
        <v>377</v>
      </c>
    </row>
    <row r="57" spans="1:3" x14ac:dyDescent="0.2">
      <c r="A57" t="s">
        <v>37</v>
      </c>
      <c r="B57">
        <v>332</v>
      </c>
      <c r="C57">
        <v>298</v>
      </c>
    </row>
    <row r="58" spans="1:3" x14ac:dyDescent="0.2">
      <c r="B58">
        <f>SUM(B54:B57)</f>
        <v>2801</v>
      </c>
      <c r="C58">
        <f>SUM(C52:C57)</f>
        <v>2805</v>
      </c>
    </row>
  </sheetData>
  <conditionalFormatting sqref="I3:K20">
    <cfRule type="colorScale" priority="1">
      <colorScale>
        <cfvo type="min"/>
        <cfvo type="percentile" val="50"/>
        <cfvo type="max"/>
        <color theme="5" tint="0.39997558519241921"/>
        <color theme="7" tint="0.79998168889431442"/>
        <color theme="9" tint="0.59999389629810485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3FE5C-2788-6C41-8554-7F97341AC73D}">
  <dimension ref="A2:E20"/>
  <sheetViews>
    <sheetView workbookViewId="0">
      <selection activeCell="J11" sqref="J11"/>
    </sheetView>
  </sheetViews>
  <sheetFormatPr baseColWidth="10" defaultRowHeight="16" x14ac:dyDescent="0.2"/>
  <sheetData>
    <row r="2" spans="1:5" x14ac:dyDescent="0.2">
      <c r="A2" t="s">
        <v>277</v>
      </c>
      <c r="B2" t="s">
        <v>278</v>
      </c>
      <c r="C2" t="s">
        <v>279</v>
      </c>
      <c r="D2" t="s">
        <v>280</v>
      </c>
      <c r="E2" t="s">
        <v>281</v>
      </c>
    </row>
    <row r="3" spans="1:5" x14ac:dyDescent="0.2">
      <c r="A3" s="24" t="s">
        <v>47</v>
      </c>
      <c r="B3" s="44">
        <f>VLOOKUP($A3,NDC_updates!$B$3:$G$20,5,FALSE)</f>
        <v>0</v>
      </c>
      <c r="C3" s="44">
        <f>VLOOKUP($A3,NDC_updates!$B$3:$G$20,6,FALSE)</f>
        <v>0</v>
      </c>
      <c r="D3" s="44">
        <f>VLOOKUP($A3,NDC_updates!$B$3:$G$20,3,FALSE)</f>
        <v>3391</v>
      </c>
      <c r="E3" s="44">
        <f>VLOOKUP($A3,NDC_updates!$B$3:$G$20,4,FALSE)</f>
        <v>3419</v>
      </c>
    </row>
    <row r="4" spans="1:5" x14ac:dyDescent="0.2">
      <c r="A4" s="15" t="s">
        <v>11</v>
      </c>
      <c r="B4" s="44">
        <f>VLOOKUP($A4,NDC_updates!$B$3:$G$20,5,FALSE)</f>
        <v>2194</v>
      </c>
      <c r="C4" s="44">
        <f>VLOOKUP($A4,NDC_updates!$B$3:$G$20,6,FALSE)</f>
        <v>2329</v>
      </c>
      <c r="D4" s="44">
        <f>VLOOKUP($A4,NDC_updates!$B$3:$G$20,3,FALSE)</f>
        <v>3035</v>
      </c>
      <c r="E4" s="44">
        <f>VLOOKUP($A4,NDC_updates!$B$3:$G$20,4,FALSE)</f>
        <v>3063</v>
      </c>
    </row>
    <row r="5" spans="1:5" x14ac:dyDescent="0.2">
      <c r="A5" s="15" t="s">
        <v>88</v>
      </c>
      <c r="B5" s="44">
        <f>VLOOKUP($A5,NDC_updates!$B$3:$G$20,5,FALSE)</f>
        <v>12921</v>
      </c>
      <c r="C5" s="44">
        <f>VLOOKUP($A5,NDC_updates!$B$3:$G$20,6,FALSE)</f>
        <v>14419</v>
      </c>
      <c r="D5" s="44">
        <f>VLOOKUP($A5,NDC_updates!$B$3:$G$20,3,FALSE)</f>
        <v>13744</v>
      </c>
      <c r="E5" s="44">
        <f>VLOOKUP($A5,NDC_updates!$B$3:$G$20,4,FALSE)</f>
        <v>15194</v>
      </c>
    </row>
    <row r="6" spans="1:5" x14ac:dyDescent="0.2">
      <c r="A6" s="15" t="s">
        <v>89</v>
      </c>
      <c r="B6" s="44">
        <f>VLOOKUP($A6,NDC_updates!$B$3:$G$20,5,FALSE)</f>
        <v>1307</v>
      </c>
      <c r="C6" s="44">
        <f>VLOOKUP($A6,NDC_updates!$B$3:$G$20,6,FALSE)</f>
        <v>1307</v>
      </c>
      <c r="D6" s="44">
        <f>VLOOKUP($A6,NDC_updates!$B$3:$G$20,3,FALSE)</f>
        <v>890</v>
      </c>
      <c r="E6" s="44">
        <f>VLOOKUP($A6,NDC_updates!$B$3:$G$20,4,FALSE)</f>
        <v>890</v>
      </c>
    </row>
    <row r="7" spans="1:5" x14ac:dyDescent="0.2">
      <c r="A7" s="11" t="s">
        <v>90</v>
      </c>
      <c r="B7" s="44">
        <f>VLOOKUP($A7,NDC_updates!$B$3:$G$20,5,FALSE)</f>
        <v>2423</v>
      </c>
      <c r="C7" s="44">
        <f>VLOOKUP($A7,NDC_updates!$B$3:$G$20,6,FALSE)</f>
        <v>2423</v>
      </c>
      <c r="D7" s="44">
        <f>VLOOKUP($A7,NDC_updates!$B$3:$G$20,3,FALSE)</f>
        <v>2423</v>
      </c>
      <c r="E7" s="44">
        <f>VLOOKUP($A7,NDC_updates!$B$3:$G$20,4,FALSE)</f>
        <v>2578</v>
      </c>
    </row>
    <row r="8" spans="1:5" x14ac:dyDescent="0.2">
      <c r="A8" s="11" t="s">
        <v>40</v>
      </c>
      <c r="B8" s="46">
        <f>NDC_updates!H8</f>
        <v>797</v>
      </c>
      <c r="C8" s="46">
        <f>B8</f>
        <v>797</v>
      </c>
      <c r="D8" s="44">
        <f>VLOOKUP($A8,NDC_updates!$B$3:$G$20,3,FALSE)</f>
        <v>1079</v>
      </c>
      <c r="E8" s="44">
        <f>VLOOKUP($A8,NDC_updates!$B$3:$G$20,4,FALSE)</f>
        <v>1079</v>
      </c>
    </row>
    <row r="9" spans="1:5" x14ac:dyDescent="0.2">
      <c r="A9" s="11" t="s">
        <v>37</v>
      </c>
      <c r="B9" s="44">
        <f>VLOOKUP($A9,NDC_updates!$B$3:$G$20,5,FALSE)</f>
        <v>428</v>
      </c>
      <c r="C9" s="44">
        <f>VLOOKUP($A9,NDC_updates!$B$3:$G$20,6,FALSE)</f>
        <v>465</v>
      </c>
      <c r="D9" s="44">
        <f>VLOOKUP($A9,NDC_updates!$B$3:$G$20,3,FALSE)</f>
        <v>526</v>
      </c>
      <c r="E9" s="44">
        <f>VLOOKUP($A9,NDC_updates!$B$3:$G$20,4,FALSE)</f>
        <v>526</v>
      </c>
    </row>
    <row r="10" spans="1:5" x14ac:dyDescent="0.2">
      <c r="A10" s="11" t="s">
        <v>64</v>
      </c>
      <c r="B10" s="44">
        <f>VLOOKUP($A10,NDC_updates!$B$3:$G$20,5,FALSE)</f>
        <v>313</v>
      </c>
      <c r="C10" s="44">
        <f>VLOOKUP($A10,NDC_updates!$B$3:$G$20,6,FALSE)</f>
        <v>313</v>
      </c>
      <c r="D10" s="44">
        <f>VLOOKUP($A10,NDC_updates!$B$3:$G$20,3,FALSE)</f>
        <v>422</v>
      </c>
      <c r="E10" s="44">
        <f>VLOOKUP($A10,NDC_updates!$B$3:$G$20,4,FALSE)</f>
        <v>422</v>
      </c>
    </row>
    <row r="11" spans="1:5" x14ac:dyDescent="0.2">
      <c r="A11" s="11" t="s">
        <v>91</v>
      </c>
      <c r="B11" s="44">
        <f>VLOOKUP($A11,NDC_updates!$B$3:$G$20,5,FALSE)</f>
        <v>95</v>
      </c>
      <c r="C11" s="44">
        <f>VLOOKUP($A11,NDC_updates!$B$3:$G$20,6,FALSE)</f>
        <v>95</v>
      </c>
      <c r="D11" s="44">
        <f>VLOOKUP($A11,NDC_updates!$B$3:$G$20,3,FALSE)</f>
        <v>131</v>
      </c>
      <c r="E11" s="44">
        <f>VLOOKUP($A11,NDC_updates!$B$3:$G$20,4,FALSE)</f>
        <v>131</v>
      </c>
    </row>
    <row r="12" spans="1:5" x14ac:dyDescent="0.2">
      <c r="A12" s="11" t="s">
        <v>92</v>
      </c>
      <c r="B12" s="44">
        <f>VLOOKUP($A12,NDC_updates!$B$3:$G$20,5,FALSE)</f>
        <v>24.6</v>
      </c>
      <c r="C12" s="44">
        <f>VLOOKUP($A12,NDC_updates!$B$3:$G$20,6,FALSE)</f>
        <v>27.2</v>
      </c>
      <c r="D12" s="44">
        <f>VLOOKUP($A12,NDC_updates!$B$3:$G$20,3,FALSE)</f>
        <v>32.200000000000003</v>
      </c>
      <c r="E12" s="44">
        <f>VLOOKUP($A12,NDC_updates!$B$3:$G$20,4,FALSE)</f>
        <v>32.200000000000003</v>
      </c>
    </row>
    <row r="13" spans="1:5" x14ac:dyDescent="0.2">
      <c r="A13" s="11" t="s">
        <v>38</v>
      </c>
      <c r="B13" s="44">
        <f>VLOOKUP($A13,NDC_updates!$B$3:$G$20,5,FALSE)</f>
        <v>251</v>
      </c>
      <c r="C13" s="44">
        <f>VLOOKUP($A13,NDC_updates!$B$3:$G$20,6,FALSE)</f>
        <v>251</v>
      </c>
      <c r="D13" s="44">
        <f>VLOOKUP($A13,NDC_updates!$B$3:$G$20,3,FALSE)</f>
        <v>356</v>
      </c>
      <c r="E13" s="44">
        <f>VLOOKUP($A13,NDC_updates!$B$3:$G$20,4,FALSE)</f>
        <v>356</v>
      </c>
    </row>
    <row r="14" spans="1:5" x14ac:dyDescent="0.2">
      <c r="A14" s="11" t="s">
        <v>93</v>
      </c>
      <c r="B14" s="44">
        <f>VLOOKUP($A14,NDC_updates!$B$3:$G$20,5,FALSE)</f>
        <v>332</v>
      </c>
      <c r="C14" s="44">
        <f>VLOOKUP($A14,NDC_updates!$B$3:$G$20,6,FALSE)</f>
        <v>385</v>
      </c>
      <c r="D14" s="44">
        <f>VLOOKUP($A14,NDC_updates!$B$3:$G$20,3,FALSE)</f>
        <v>544</v>
      </c>
      <c r="E14" s="44">
        <f>VLOOKUP($A14,NDC_updates!$B$3:$G$20,4,FALSE)</f>
        <v>544</v>
      </c>
    </row>
    <row r="15" spans="1:5" x14ac:dyDescent="0.2">
      <c r="A15" s="11" t="s">
        <v>14</v>
      </c>
      <c r="B15" s="44">
        <f>VLOOKUP($A15,NDC_updates!$B$3:$G$20,5,FALSE)</f>
        <v>3715</v>
      </c>
      <c r="C15" s="44">
        <f>VLOOKUP($A15,NDC_updates!$B$3:$G$20,6,FALSE)</f>
        <v>4219</v>
      </c>
      <c r="D15" s="45">
        <f>VLOOKUP($A15,NDC_updates!$B$3:$G$20,3,FALSE)</f>
        <v>4581.4319999999998</v>
      </c>
      <c r="E15" s="45">
        <f>VLOOKUP($A15,NDC_updates!$B$3:$G$20,4,FALSE)</f>
        <v>5057.6639999999998</v>
      </c>
    </row>
    <row r="16" spans="1:5" x14ac:dyDescent="0.2">
      <c r="A16" s="11" t="s">
        <v>60</v>
      </c>
      <c r="B16" s="44">
        <f>VLOOKUP($A16,NDC_updates!$B$3:$G$20,5,FALSE)</f>
        <v>414</v>
      </c>
      <c r="C16" s="44">
        <f>VLOOKUP($A16,NDC_updates!$B$3:$G$20,6,FALSE)</f>
        <v>456</v>
      </c>
      <c r="D16" s="44">
        <f>VLOOKUP($A16,NDC_updates!$B$3:$G$20,3,FALSE)</f>
        <v>414</v>
      </c>
      <c r="E16" s="44">
        <f>VLOOKUP($A16,NDC_updates!$B$3:$G$20,4,FALSE)</f>
        <v>630</v>
      </c>
    </row>
    <row r="17" spans="1:5" x14ac:dyDescent="0.2">
      <c r="A17" s="11" t="s">
        <v>94</v>
      </c>
      <c r="B17" s="44">
        <f>VLOOKUP($A17,NDC_updates!$B$3:$G$20,5,FALSE)</f>
        <v>156</v>
      </c>
      <c r="C17" s="44">
        <f>VLOOKUP($A17,NDC_updates!$B$3:$G$20,6,FALSE)</f>
        <v>188</v>
      </c>
      <c r="D17" s="44">
        <f>VLOOKUP($A17,NDC_updates!$B$3:$G$20,3,FALSE)</f>
        <v>200</v>
      </c>
      <c r="E17" s="44">
        <f>VLOOKUP($A17,NDC_updates!$B$3:$G$20,4,FALSE)</f>
        <v>200</v>
      </c>
    </row>
    <row r="18" spans="1:5" x14ac:dyDescent="0.2">
      <c r="A18" s="11" t="s">
        <v>74</v>
      </c>
      <c r="B18" s="44">
        <f>VLOOKUP($A18,NDC_updates!$B$3:$G$20,5,FALSE)</f>
        <v>12.3</v>
      </c>
      <c r="C18" s="44">
        <f>VLOOKUP($A18,NDC_updates!$B$3:$G$20,6,FALSE)</f>
        <v>12.9</v>
      </c>
      <c r="D18" s="44">
        <f>VLOOKUP($A18,NDC_updates!$B$3:$G$20,3,FALSE)</f>
        <v>12.6</v>
      </c>
      <c r="E18" s="44">
        <f>VLOOKUP($A18,NDC_updates!$B$3:$G$20,4,FALSE)</f>
        <v>12.6</v>
      </c>
    </row>
    <row r="19" spans="1:5" x14ac:dyDescent="0.2">
      <c r="A19" s="11" t="s">
        <v>65</v>
      </c>
      <c r="B19" s="44">
        <f>VLOOKUP($A19,NDC_updates!$B$3:$G$20,5,FALSE)</f>
        <v>774</v>
      </c>
      <c r="C19" s="44">
        <f>VLOOKUP($A19,NDC_updates!$B$3:$G$20,6,FALSE)</f>
        <v>774</v>
      </c>
      <c r="D19" s="44">
        <f>VLOOKUP($A19,NDC_updates!$B$3:$G$20,3,FALSE)</f>
        <v>763</v>
      </c>
      <c r="E19" s="44">
        <f>VLOOKUP($A19,NDC_updates!$B$3:$G$20,4,FALSE)</f>
        <v>763</v>
      </c>
    </row>
    <row r="20" spans="1:5" x14ac:dyDescent="0.2">
      <c r="A20" s="26" t="s">
        <v>72</v>
      </c>
      <c r="B20" s="44">
        <f>VLOOKUP($A20,NDC_updates!$B$3:$G$20,5,FALSE)</f>
        <v>123</v>
      </c>
      <c r="C20" s="44">
        <f>VLOOKUP($A20,NDC_updates!$B$3:$G$20,6,FALSE)</f>
        <v>123</v>
      </c>
      <c r="D20" s="44">
        <f>VLOOKUP($A20,NDC_updates!$B$3:$G$20,3,FALSE)</f>
        <v>131</v>
      </c>
      <c r="E20" s="44">
        <f>VLOOKUP($A20,NDC_updates!$B$3:$G$20,4,FALSE)</f>
        <v>131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76E44-DE1B-0C4B-BD8B-103FB9446DED}">
  <dimension ref="A2:P13"/>
  <sheetViews>
    <sheetView workbookViewId="0">
      <selection activeCell="A16" sqref="A16"/>
    </sheetView>
  </sheetViews>
  <sheetFormatPr baseColWidth="10" defaultRowHeight="16" x14ac:dyDescent="0.2"/>
  <sheetData>
    <row r="2" spans="1:16" ht="51" x14ac:dyDescent="0.2">
      <c r="B2" s="3" t="s">
        <v>15</v>
      </c>
      <c r="C2" s="3" t="s">
        <v>17</v>
      </c>
      <c r="D2" s="3" t="s">
        <v>16</v>
      </c>
      <c r="E2" s="3">
        <v>2050</v>
      </c>
      <c r="F2" s="3" t="s">
        <v>19</v>
      </c>
      <c r="G2" s="3" t="s">
        <v>18</v>
      </c>
      <c r="H2" s="3" t="s">
        <v>22</v>
      </c>
      <c r="I2" s="3" t="s">
        <v>23</v>
      </c>
      <c r="J2" s="4" t="s">
        <v>21</v>
      </c>
      <c r="K2" s="4" t="s">
        <v>20</v>
      </c>
      <c r="L2" s="3" t="s">
        <v>24</v>
      </c>
      <c r="M2" s="3" t="s">
        <v>34</v>
      </c>
      <c r="N2" s="3" t="s">
        <v>26</v>
      </c>
      <c r="O2" s="3" t="s">
        <v>27</v>
      </c>
      <c r="P2" s="3" t="s">
        <v>35</v>
      </c>
    </row>
    <row r="3" spans="1:16" x14ac:dyDescent="0.2">
      <c r="B3">
        <v>6577</v>
      </c>
      <c r="C3">
        <f>B3*(1-0.26)</f>
        <v>4866.9799999999996</v>
      </c>
      <c r="D3">
        <f>B3*(1-0.28)</f>
        <v>4735.4399999999996</v>
      </c>
      <c r="E3">
        <f>B3*(1-0.8)</f>
        <v>1315.3999999999996</v>
      </c>
      <c r="F3">
        <f>((E3-C3)/(2050-2025))*5+C3</f>
        <v>4156.6639999999998</v>
      </c>
      <c r="G3">
        <f>((E3-D3)/(2050-2025))*5+D3</f>
        <v>4051.4319999999998</v>
      </c>
      <c r="H3">
        <v>-530</v>
      </c>
      <c r="I3">
        <v>-901</v>
      </c>
      <c r="J3" s="2">
        <f>F3-I3</f>
        <v>5057.6639999999998</v>
      </c>
      <c r="K3" s="2">
        <f>G3-H3</f>
        <v>4581.4319999999998</v>
      </c>
      <c r="L3">
        <f>F3-H3</f>
        <v>4686.6639999999998</v>
      </c>
      <c r="M3">
        <f>G3-I3</f>
        <v>4952.4319999999998</v>
      </c>
      <c r="N3">
        <v>6152</v>
      </c>
      <c r="O3">
        <v>6385</v>
      </c>
      <c r="P3">
        <v>5702</v>
      </c>
    </row>
    <row r="6" spans="1:16" x14ac:dyDescent="0.2">
      <c r="C6" s="5" t="s">
        <v>28</v>
      </c>
      <c r="D6" s="5"/>
      <c r="E6" s="5" t="s">
        <v>31</v>
      </c>
      <c r="G6" t="s">
        <v>35</v>
      </c>
    </row>
    <row r="7" spans="1:16" x14ac:dyDescent="0.2">
      <c r="B7" t="s">
        <v>25</v>
      </c>
      <c r="C7" t="s">
        <v>29</v>
      </c>
      <c r="D7" t="s">
        <v>30</v>
      </c>
      <c r="E7" t="s">
        <v>29</v>
      </c>
      <c r="F7" t="s">
        <v>30</v>
      </c>
    </row>
    <row r="8" spans="1:16" x14ac:dyDescent="0.2">
      <c r="A8" t="s">
        <v>32</v>
      </c>
      <c r="B8">
        <f>B3*(1-0.5)-H3</f>
        <v>3818.5</v>
      </c>
      <c r="C8">
        <f>(L3-B8)/L3</f>
        <v>0.18524135717858156</v>
      </c>
      <c r="D8">
        <f>(M3-B8)/M3</f>
        <v>0.22896467836408452</v>
      </c>
      <c r="E8">
        <f>(N3-B8)/N3</f>
        <v>0.37930754226267882</v>
      </c>
      <c r="F8">
        <f>(O3-B8)/O3</f>
        <v>0.40195771339075959</v>
      </c>
      <c r="G8">
        <f>(P3-B8)/P3</f>
        <v>0.33032269379165208</v>
      </c>
    </row>
    <row r="9" spans="1:16" x14ac:dyDescent="0.2">
      <c r="A9" t="s">
        <v>33</v>
      </c>
      <c r="B9">
        <f>B3*(1-0.5)-I3</f>
        <v>4189.5</v>
      </c>
      <c r="C9">
        <f>(L3-B9)/L3</f>
        <v>0.10608057244982781</v>
      </c>
      <c r="D9">
        <f>(M3-B9)/M3</f>
        <v>0.15405198900257486</v>
      </c>
      <c r="E9">
        <f>(N3-B9)/N3</f>
        <v>0.31900195058517555</v>
      </c>
      <c r="F9">
        <f>(O3-B9)/O3</f>
        <v>0.34385277995301489</v>
      </c>
      <c r="G9">
        <f>(P3-B9)/P3</f>
        <v>0.26525780427920026</v>
      </c>
    </row>
    <row r="11" spans="1:16" x14ac:dyDescent="0.2">
      <c r="B11" t="s">
        <v>39</v>
      </c>
    </row>
    <row r="12" spans="1:16" x14ac:dyDescent="0.2">
      <c r="A12" t="s">
        <v>32</v>
      </c>
      <c r="B12">
        <f>B3*(1-0.52)-H3</f>
        <v>3686.96</v>
      </c>
      <c r="C12">
        <f>(L3-B12)/L3</f>
        <v>0.21330822947836664</v>
      </c>
      <c r="D12">
        <f>(M3-B12)/M3</f>
        <v>0.25552536612314913</v>
      </c>
    </row>
    <row r="13" spans="1:16" x14ac:dyDescent="0.2">
      <c r="A13" t="s">
        <v>33</v>
      </c>
      <c r="B13">
        <f>B3*(1-0.52)-I3</f>
        <v>4057.96</v>
      </c>
      <c r="C13">
        <f>(L3-B13)/L3</f>
        <v>0.1341474447496129</v>
      </c>
      <c r="D13">
        <f>(M3-B13)/M3</f>
        <v>0.1806126767616395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365B0-7EB9-E542-B009-33495110DFF0}">
  <dimension ref="B1:G190"/>
  <sheetViews>
    <sheetView workbookViewId="0">
      <selection activeCell="D190" sqref="D190"/>
    </sheetView>
  </sheetViews>
  <sheetFormatPr baseColWidth="10" defaultRowHeight="16" x14ac:dyDescent="0.2"/>
  <sheetData>
    <row r="1" spans="2:7" x14ac:dyDescent="0.2">
      <c r="B1" s="5" t="s">
        <v>267</v>
      </c>
    </row>
    <row r="3" spans="2:7" x14ac:dyDescent="0.2">
      <c r="B3" t="s">
        <v>99</v>
      </c>
    </row>
    <row r="4" spans="2:7" x14ac:dyDescent="0.2">
      <c r="B4" s="29" t="s">
        <v>100</v>
      </c>
      <c r="C4" s="30">
        <v>2010</v>
      </c>
      <c r="D4" s="35">
        <v>2020</v>
      </c>
      <c r="E4" s="35">
        <v>2030</v>
      </c>
      <c r="F4" t="s">
        <v>257</v>
      </c>
      <c r="G4" t="s">
        <v>269</v>
      </c>
    </row>
    <row r="5" spans="2:7" x14ac:dyDescent="0.2">
      <c r="B5" s="31" t="s">
        <v>101</v>
      </c>
      <c r="C5" s="32">
        <v>2.5916000000000001</v>
      </c>
      <c r="D5">
        <v>0.26979999999999998</v>
      </c>
      <c r="E5">
        <v>0.31840000000000002</v>
      </c>
    </row>
    <row r="6" spans="2:7" x14ac:dyDescent="0.2">
      <c r="B6" s="31" t="s">
        <v>102</v>
      </c>
      <c r="C6" s="32">
        <v>31.090900000000001</v>
      </c>
      <c r="D6">
        <v>34.569699999999997</v>
      </c>
      <c r="E6">
        <v>41.884700000000002</v>
      </c>
    </row>
    <row r="7" spans="2:7" x14ac:dyDescent="0.2">
      <c r="B7" s="31" t="s">
        <v>103</v>
      </c>
      <c r="C7" s="32">
        <v>78.643100000000004</v>
      </c>
      <c r="D7">
        <v>97.072000000000003</v>
      </c>
      <c r="E7">
        <v>102.4524</v>
      </c>
    </row>
    <row r="8" spans="2:7" x14ac:dyDescent="0.2">
      <c r="B8" s="31" t="s">
        <v>104</v>
      </c>
      <c r="C8" s="32">
        <v>0.1535</v>
      </c>
      <c r="D8">
        <v>0.14779999999999999</v>
      </c>
      <c r="E8">
        <v>0.15210000000000001</v>
      </c>
    </row>
    <row r="9" spans="2:7" x14ac:dyDescent="0.2">
      <c r="B9" s="31" t="s">
        <v>105</v>
      </c>
      <c r="C9" s="32">
        <v>7.6090999999999998</v>
      </c>
      <c r="D9">
        <v>8.8228000000000009</v>
      </c>
      <c r="E9">
        <v>9.8709000000000007</v>
      </c>
    </row>
    <row r="10" spans="2:7" x14ac:dyDescent="0.2">
      <c r="B10" s="31" t="s">
        <v>106</v>
      </c>
      <c r="C10" s="32">
        <v>0.51700000000000002</v>
      </c>
      <c r="D10">
        <v>0.46600000000000003</v>
      </c>
      <c r="E10">
        <v>0.47949999999999998</v>
      </c>
    </row>
    <row r="11" spans="2:7" x14ac:dyDescent="0.2">
      <c r="B11" s="31" t="s">
        <v>107</v>
      </c>
      <c r="C11" s="32">
        <v>192.41460000000001</v>
      </c>
      <c r="D11">
        <v>229.01439999999999</v>
      </c>
      <c r="E11">
        <v>265.52629999999999</v>
      </c>
    </row>
    <row r="12" spans="2:7" x14ac:dyDescent="0.2">
      <c r="B12" s="31" t="s">
        <v>64</v>
      </c>
      <c r="C12" s="32">
        <v>318.35739999999998</v>
      </c>
      <c r="D12">
        <v>367.96359999999999</v>
      </c>
      <c r="E12">
        <v>421.56709999999998</v>
      </c>
      <c r="F12" t="s">
        <v>258</v>
      </c>
      <c r="G12" t="s">
        <v>270</v>
      </c>
    </row>
    <row r="13" spans="2:7" x14ac:dyDescent="0.2">
      <c r="B13" s="31" t="s">
        <v>108</v>
      </c>
      <c r="C13" s="32">
        <v>8.5373999999999999</v>
      </c>
      <c r="D13">
        <v>9.8559999999999999</v>
      </c>
      <c r="E13">
        <v>10.1974</v>
      </c>
    </row>
    <row r="14" spans="2:7" x14ac:dyDescent="0.2">
      <c r="B14" s="31" t="s">
        <v>109</v>
      </c>
      <c r="C14" s="32">
        <v>5.0000000000000001E-3</v>
      </c>
      <c r="D14">
        <v>4.3E-3</v>
      </c>
      <c r="E14">
        <v>4.4000000000000003E-3</v>
      </c>
    </row>
    <row r="15" spans="2:7" x14ac:dyDescent="0.2">
      <c r="B15" s="31" t="s">
        <v>110</v>
      </c>
      <c r="C15" s="32">
        <v>0.64829999999999999</v>
      </c>
      <c r="D15">
        <v>0.73570000000000002</v>
      </c>
      <c r="E15">
        <v>0.86819999999999997</v>
      </c>
    </row>
    <row r="16" spans="2:7" x14ac:dyDescent="0.2">
      <c r="B16" s="31" t="s">
        <v>62</v>
      </c>
      <c r="C16" s="32">
        <v>540.57140000000004</v>
      </c>
      <c r="D16">
        <v>528.48450000000003</v>
      </c>
      <c r="E16">
        <v>466.69080000000002</v>
      </c>
      <c r="F16" t="s">
        <v>258</v>
      </c>
      <c r="G16" t="s">
        <v>271</v>
      </c>
    </row>
    <row r="17" spans="2:7" x14ac:dyDescent="0.2">
      <c r="B17" s="31" t="s">
        <v>111</v>
      </c>
      <c r="C17" s="32">
        <v>55.709299999999999</v>
      </c>
      <c r="D17">
        <v>64.177899999999994</v>
      </c>
      <c r="E17">
        <v>62.706000000000003</v>
      </c>
    </row>
    <row r="18" spans="2:7" x14ac:dyDescent="0.2">
      <c r="B18" s="31" t="s">
        <v>112</v>
      </c>
      <c r="C18" s="32">
        <v>4.8480999999999996</v>
      </c>
      <c r="D18">
        <v>6.9321000000000002</v>
      </c>
      <c r="E18">
        <v>8.9489000000000001</v>
      </c>
    </row>
    <row r="19" spans="2:7" x14ac:dyDescent="0.2">
      <c r="B19" s="31" t="s">
        <v>113</v>
      </c>
      <c r="C19" s="32">
        <v>12.9697</v>
      </c>
      <c r="D19">
        <v>15.9194</v>
      </c>
      <c r="E19">
        <v>19.578499999999998</v>
      </c>
    </row>
    <row r="20" spans="2:7" x14ac:dyDescent="0.2">
      <c r="B20" s="31" t="s">
        <v>114</v>
      </c>
      <c r="C20" s="32">
        <v>28.8932</v>
      </c>
      <c r="D20">
        <v>33.749699999999997</v>
      </c>
      <c r="E20">
        <v>37.897399999999998</v>
      </c>
    </row>
    <row r="21" spans="2:7" x14ac:dyDescent="0.2">
      <c r="B21" s="31" t="s">
        <v>115</v>
      </c>
      <c r="C21" s="32">
        <v>139.16630000000001</v>
      </c>
      <c r="D21">
        <v>187.39080000000001</v>
      </c>
      <c r="E21">
        <v>247.51</v>
      </c>
    </row>
    <row r="22" spans="2:7" x14ac:dyDescent="0.2">
      <c r="B22" s="31" t="s">
        <v>116</v>
      </c>
      <c r="C22" s="32">
        <v>35.946599999999997</v>
      </c>
      <c r="D22">
        <v>44.734499999999997</v>
      </c>
      <c r="E22">
        <v>57.197600000000001</v>
      </c>
    </row>
    <row r="23" spans="2:7" x14ac:dyDescent="0.2">
      <c r="B23" s="31" t="s">
        <v>117</v>
      </c>
      <c r="C23" s="32">
        <v>2.4474</v>
      </c>
      <c r="D23">
        <v>3.73</v>
      </c>
      <c r="E23">
        <v>3.8161</v>
      </c>
    </row>
    <row r="24" spans="2:7" x14ac:dyDescent="0.2">
      <c r="B24" s="31" t="s">
        <v>118</v>
      </c>
      <c r="C24" s="32">
        <v>30.081800000000001</v>
      </c>
      <c r="D24">
        <v>30.113</v>
      </c>
      <c r="E24">
        <v>32.408499999999997</v>
      </c>
    </row>
    <row r="25" spans="2:7" x14ac:dyDescent="0.2">
      <c r="B25" s="31" t="s">
        <v>119</v>
      </c>
      <c r="C25" s="32">
        <v>95.045500000000004</v>
      </c>
      <c r="D25">
        <v>95.655799999999999</v>
      </c>
      <c r="E25">
        <v>98.986099999999993</v>
      </c>
    </row>
    <row r="26" spans="2:7" x14ac:dyDescent="0.2">
      <c r="B26" s="31" t="s">
        <v>120</v>
      </c>
      <c r="C26" s="32">
        <v>0.97650000000000003</v>
      </c>
      <c r="D26">
        <v>1.0322</v>
      </c>
      <c r="E26">
        <v>1.232</v>
      </c>
    </row>
    <row r="27" spans="2:7" x14ac:dyDescent="0.2">
      <c r="B27" s="31" t="s">
        <v>121</v>
      </c>
      <c r="C27" s="32">
        <v>72.9529</v>
      </c>
      <c r="D27">
        <v>101.1709</v>
      </c>
      <c r="E27">
        <v>113.9901</v>
      </c>
    </row>
    <row r="28" spans="2:7" x14ac:dyDescent="0.2">
      <c r="B28" s="31" t="s">
        <v>89</v>
      </c>
      <c r="C28" s="32">
        <v>942.56150000000002</v>
      </c>
      <c r="D28">
        <v>1026.2918</v>
      </c>
      <c r="E28">
        <v>889.70590000000004</v>
      </c>
      <c r="F28" t="s">
        <v>258</v>
      </c>
      <c r="G28" t="s">
        <v>271</v>
      </c>
    </row>
    <row r="29" spans="2:7" x14ac:dyDescent="0.2">
      <c r="B29" s="31" t="s">
        <v>122</v>
      </c>
      <c r="C29" s="32">
        <v>1.6906000000000001</v>
      </c>
      <c r="D29">
        <v>1.389</v>
      </c>
      <c r="E29">
        <v>1.3160000000000001</v>
      </c>
    </row>
    <row r="30" spans="2:7" x14ac:dyDescent="0.2">
      <c r="B30" s="31" t="s">
        <v>123</v>
      </c>
      <c r="C30" s="32">
        <v>14.118</v>
      </c>
      <c r="D30">
        <v>14.222899999999999</v>
      </c>
      <c r="E30">
        <v>13.5154</v>
      </c>
    </row>
    <row r="31" spans="2:7" x14ac:dyDescent="0.2">
      <c r="B31" s="31" t="s">
        <v>124</v>
      </c>
      <c r="C31" s="32">
        <v>1.9576</v>
      </c>
      <c r="D31">
        <v>2.9089</v>
      </c>
      <c r="E31">
        <v>4.2748999999999997</v>
      </c>
    </row>
    <row r="32" spans="2:7" x14ac:dyDescent="0.2">
      <c r="B32" s="31" t="s">
        <v>125</v>
      </c>
      <c r="C32" s="32">
        <v>20.635200000000001</v>
      </c>
      <c r="D32">
        <v>15.2956</v>
      </c>
      <c r="E32">
        <v>15.9826</v>
      </c>
    </row>
    <row r="33" spans="2:7" x14ac:dyDescent="0.2">
      <c r="B33" s="31" t="s">
        <v>126</v>
      </c>
      <c r="C33" s="32">
        <v>32.395299999999999</v>
      </c>
      <c r="D33">
        <v>31.672599999999999</v>
      </c>
      <c r="E33">
        <v>23.1982</v>
      </c>
    </row>
    <row r="34" spans="2:7" x14ac:dyDescent="0.2">
      <c r="B34" s="31" t="s">
        <v>37</v>
      </c>
      <c r="C34" s="32">
        <v>690.53060000000005</v>
      </c>
      <c r="D34">
        <v>628.69010000000003</v>
      </c>
      <c r="E34">
        <v>525.82299999999998</v>
      </c>
      <c r="F34" t="s">
        <v>36</v>
      </c>
      <c r="G34" t="s">
        <v>270</v>
      </c>
    </row>
    <row r="35" spans="2:7" x14ac:dyDescent="0.2">
      <c r="B35" s="31" t="s">
        <v>127</v>
      </c>
      <c r="C35" s="32">
        <v>54.117100000000001</v>
      </c>
      <c r="D35">
        <v>42.601300000000002</v>
      </c>
      <c r="E35">
        <v>27.5351</v>
      </c>
    </row>
    <row r="36" spans="2:7" x14ac:dyDescent="0.2">
      <c r="B36" s="31" t="s">
        <v>91</v>
      </c>
      <c r="C36" s="32">
        <v>91.862300000000005</v>
      </c>
      <c r="D36">
        <v>107.9615</v>
      </c>
      <c r="E36">
        <v>95</v>
      </c>
    </row>
    <row r="37" spans="2:7" x14ac:dyDescent="0.2">
      <c r="B37" s="31" t="s">
        <v>88</v>
      </c>
      <c r="C37" s="32">
        <v>10920.07</v>
      </c>
      <c r="D37">
        <v>13663.758599999999</v>
      </c>
      <c r="E37">
        <v>14468.9375</v>
      </c>
      <c r="F37" t="s">
        <v>258</v>
      </c>
      <c r="G37" t="s">
        <v>270</v>
      </c>
    </row>
    <row r="38" spans="2:7" x14ac:dyDescent="0.2">
      <c r="B38" s="31" t="s">
        <v>128</v>
      </c>
      <c r="C38" s="32">
        <v>20.198899999999998</v>
      </c>
      <c r="D38">
        <v>31.4939</v>
      </c>
      <c r="E38">
        <v>54.806199999999997</v>
      </c>
    </row>
    <row r="39" spans="2:7" x14ac:dyDescent="0.2">
      <c r="B39" s="31" t="s">
        <v>129</v>
      </c>
      <c r="C39" s="32">
        <v>28.473099999999999</v>
      </c>
      <c r="D39">
        <v>33.100700000000003</v>
      </c>
      <c r="E39">
        <v>43.060299999999998</v>
      </c>
    </row>
    <row r="40" spans="2:7" x14ac:dyDescent="0.2">
      <c r="B40" s="31" t="s">
        <v>130</v>
      </c>
      <c r="C40" s="32">
        <v>47.665199999999999</v>
      </c>
      <c r="D40">
        <v>59.548299999999998</v>
      </c>
      <c r="E40">
        <v>96.691599999999994</v>
      </c>
    </row>
    <row r="41" spans="2:7" x14ac:dyDescent="0.2">
      <c r="B41" s="31" t="s">
        <v>131</v>
      </c>
      <c r="C41" s="32">
        <v>9.1376000000000008</v>
      </c>
      <c r="D41">
        <v>14.293799999999999</v>
      </c>
      <c r="E41">
        <v>18.9925</v>
      </c>
    </row>
    <row r="42" spans="2:7" x14ac:dyDescent="0.2">
      <c r="B42" s="31" t="s">
        <v>132</v>
      </c>
      <c r="C42" s="32">
        <v>8.4000000000000005E-2</v>
      </c>
      <c r="D42">
        <v>9.69E-2</v>
      </c>
      <c r="E42">
        <v>0.1145</v>
      </c>
    </row>
    <row r="43" spans="2:7" x14ac:dyDescent="0.2">
      <c r="B43" s="31" t="s">
        <v>94</v>
      </c>
      <c r="C43" s="32">
        <v>194.096</v>
      </c>
      <c r="D43">
        <v>233.3246</v>
      </c>
      <c r="E43">
        <v>280.31599999999997</v>
      </c>
    </row>
    <row r="44" spans="2:7" x14ac:dyDescent="0.2">
      <c r="B44" s="31" t="s">
        <v>133</v>
      </c>
      <c r="C44" s="32">
        <v>0.64729999999999999</v>
      </c>
      <c r="D44">
        <v>0.745</v>
      </c>
      <c r="E44">
        <v>0.98040000000000005</v>
      </c>
    </row>
    <row r="45" spans="2:7" x14ac:dyDescent="0.2">
      <c r="B45" s="31" t="s">
        <v>134</v>
      </c>
      <c r="C45" s="32">
        <v>0.88900000000000001</v>
      </c>
      <c r="D45">
        <v>0.82379999999999998</v>
      </c>
      <c r="E45">
        <v>1.0343</v>
      </c>
    </row>
    <row r="46" spans="2:7" x14ac:dyDescent="0.2">
      <c r="B46" s="31" t="s">
        <v>74</v>
      </c>
      <c r="C46" s="32">
        <v>12.8104</v>
      </c>
      <c r="D46">
        <v>13.767099999999999</v>
      </c>
      <c r="E46">
        <v>12.6092</v>
      </c>
    </row>
    <row r="47" spans="2:7" x14ac:dyDescent="0.2">
      <c r="B47" s="31" t="s">
        <v>135</v>
      </c>
      <c r="C47" s="32">
        <v>50.173099999999998</v>
      </c>
      <c r="D47">
        <v>48.778199999999998</v>
      </c>
      <c r="E47">
        <v>48.8996</v>
      </c>
    </row>
    <row r="48" spans="2:7" x14ac:dyDescent="0.2">
      <c r="B48" s="31" t="s">
        <v>136</v>
      </c>
      <c r="C48" s="32">
        <v>1.5462</v>
      </c>
      <c r="D48">
        <v>1.9188000000000001</v>
      </c>
      <c r="E48">
        <v>2.5246</v>
      </c>
    </row>
    <row r="49" spans="2:7" x14ac:dyDescent="0.2">
      <c r="B49" s="31" t="s">
        <v>137</v>
      </c>
      <c r="C49" s="32">
        <v>0.2084</v>
      </c>
      <c r="D49">
        <v>0.22670000000000001</v>
      </c>
      <c r="E49">
        <v>0.2676</v>
      </c>
    </row>
    <row r="50" spans="2:7" x14ac:dyDescent="0.2">
      <c r="B50" s="31" t="s">
        <v>138</v>
      </c>
      <c r="C50" s="32">
        <v>31.630600000000001</v>
      </c>
      <c r="D50">
        <v>38.174300000000002</v>
      </c>
      <c r="E50">
        <v>34.664900000000003</v>
      </c>
    </row>
    <row r="51" spans="2:7" x14ac:dyDescent="0.2">
      <c r="B51" s="31" t="s">
        <v>139</v>
      </c>
      <c r="C51" s="32">
        <v>186.95609999999999</v>
      </c>
      <c r="D51">
        <v>237.4408</v>
      </c>
      <c r="E51">
        <v>272.6746</v>
      </c>
    </row>
    <row r="52" spans="2:7" x14ac:dyDescent="0.2">
      <c r="B52" s="31" t="s">
        <v>140</v>
      </c>
      <c r="C52" s="32">
        <v>58.936300000000003</v>
      </c>
      <c r="D52">
        <v>74.173100000000005</v>
      </c>
      <c r="E52">
        <v>90.474299999999999</v>
      </c>
    </row>
    <row r="53" spans="2:7" x14ac:dyDescent="0.2">
      <c r="B53" s="31" t="s">
        <v>141</v>
      </c>
      <c r="C53" s="32">
        <v>293.9049</v>
      </c>
      <c r="D53">
        <v>337.73410000000001</v>
      </c>
      <c r="E53">
        <v>479.44580000000002</v>
      </c>
    </row>
    <row r="54" spans="2:7" x14ac:dyDescent="0.2">
      <c r="B54" s="31" t="s">
        <v>142</v>
      </c>
      <c r="C54" s="32">
        <v>6.2697000000000003</v>
      </c>
      <c r="D54">
        <v>6.7058999999999997</v>
      </c>
      <c r="E54">
        <v>6.8369</v>
      </c>
    </row>
    <row r="55" spans="2:7" x14ac:dyDescent="0.2">
      <c r="B55" s="31" t="s">
        <v>69</v>
      </c>
      <c r="C55" s="32">
        <v>109.4539</v>
      </c>
      <c r="D55">
        <v>140.03190000000001</v>
      </c>
      <c r="E55">
        <v>185</v>
      </c>
    </row>
    <row r="56" spans="2:7" x14ac:dyDescent="0.2">
      <c r="B56" s="31" t="s">
        <v>47</v>
      </c>
      <c r="C56" s="32">
        <v>4798.8069999999998</v>
      </c>
      <c r="D56">
        <v>4091.5102999999999</v>
      </c>
      <c r="E56">
        <v>3419.2986999999998</v>
      </c>
      <c r="F56" t="s">
        <v>36</v>
      </c>
      <c r="G56" t="s">
        <v>270</v>
      </c>
    </row>
    <row r="57" spans="2:7" x14ac:dyDescent="0.2">
      <c r="B57" s="31" t="s">
        <v>143</v>
      </c>
      <c r="C57" s="32">
        <v>2.4123000000000001</v>
      </c>
      <c r="D57">
        <v>2.1339999999999999</v>
      </c>
      <c r="E57">
        <v>2.1394000000000002</v>
      </c>
    </row>
    <row r="58" spans="2:7" x14ac:dyDescent="0.2">
      <c r="B58" s="31" t="s">
        <v>144</v>
      </c>
      <c r="C58" s="32">
        <v>0.17249999999999999</v>
      </c>
      <c r="D58">
        <v>0.19819999999999999</v>
      </c>
      <c r="E58">
        <v>0.23419999999999999</v>
      </c>
    </row>
    <row r="59" spans="2:7" x14ac:dyDescent="0.2">
      <c r="B59" s="31" t="s">
        <v>145</v>
      </c>
      <c r="C59" s="32">
        <v>8.7004999999999999</v>
      </c>
      <c r="D59">
        <v>9.0584000000000007</v>
      </c>
      <c r="E59">
        <v>9.9552999999999994</v>
      </c>
    </row>
    <row r="60" spans="2:7" x14ac:dyDescent="0.2">
      <c r="B60" s="31" t="s">
        <v>146</v>
      </c>
      <c r="C60" s="32">
        <v>13.745799999999999</v>
      </c>
      <c r="D60">
        <v>18.681000000000001</v>
      </c>
      <c r="E60">
        <v>19.144400000000001</v>
      </c>
    </row>
    <row r="61" spans="2:7" x14ac:dyDescent="0.2">
      <c r="B61" s="31" t="s">
        <v>147</v>
      </c>
      <c r="C61" s="32">
        <v>20.279499999999999</v>
      </c>
      <c r="D61">
        <v>37.814100000000003</v>
      </c>
      <c r="E61">
        <v>35.822299999999998</v>
      </c>
    </row>
    <row r="62" spans="2:7" x14ac:dyDescent="0.2">
      <c r="B62" s="31" t="s">
        <v>148</v>
      </c>
      <c r="C62" s="32">
        <v>19.5976</v>
      </c>
      <c r="D62">
        <v>28.5228</v>
      </c>
      <c r="E62">
        <v>41.997500000000002</v>
      </c>
    </row>
    <row r="63" spans="2:7" x14ac:dyDescent="0.2">
      <c r="B63" s="31" t="s">
        <v>149</v>
      </c>
      <c r="C63" s="32">
        <v>2.1179999999999999</v>
      </c>
      <c r="D63">
        <v>2.5832000000000002</v>
      </c>
      <c r="E63">
        <v>3.1638999999999999</v>
      </c>
    </row>
    <row r="64" spans="2:7" x14ac:dyDescent="0.2">
      <c r="B64" s="31" t="s">
        <v>150</v>
      </c>
      <c r="C64" s="32">
        <v>2.2881</v>
      </c>
      <c r="D64">
        <v>2.5739000000000001</v>
      </c>
      <c r="E64">
        <v>3.0760000000000001</v>
      </c>
    </row>
    <row r="65" spans="2:7" x14ac:dyDescent="0.2">
      <c r="B65" s="31" t="s">
        <v>151</v>
      </c>
      <c r="C65" s="32">
        <v>8.7456999999999994</v>
      </c>
      <c r="D65">
        <v>11.717499999999999</v>
      </c>
      <c r="E65">
        <v>15.106199999999999</v>
      </c>
    </row>
    <row r="66" spans="2:7" x14ac:dyDescent="0.2">
      <c r="B66" s="31" t="s">
        <v>152</v>
      </c>
      <c r="C66" s="32">
        <v>0.32640000000000002</v>
      </c>
      <c r="D66">
        <v>0.36109999999999998</v>
      </c>
      <c r="E66">
        <v>0.42609999999999998</v>
      </c>
    </row>
    <row r="67" spans="2:7" x14ac:dyDescent="0.2">
      <c r="B67" s="31" t="s">
        <v>153</v>
      </c>
      <c r="C67" s="32">
        <v>26.8447</v>
      </c>
      <c r="D67">
        <v>38.1265</v>
      </c>
      <c r="E67">
        <v>52.807600000000001</v>
      </c>
    </row>
    <row r="68" spans="2:7" x14ac:dyDescent="0.2">
      <c r="B68" s="31" t="s">
        <v>154</v>
      </c>
      <c r="C68" s="32">
        <v>3.5724</v>
      </c>
      <c r="D68">
        <v>4.9759000000000002</v>
      </c>
      <c r="E68">
        <v>5.5470000000000006</v>
      </c>
    </row>
    <row r="69" spans="2:7" x14ac:dyDescent="0.2">
      <c r="B69" s="31" t="s">
        <v>155</v>
      </c>
      <c r="C69" s="32">
        <v>46.245399999999997</v>
      </c>
      <c r="D69">
        <v>53.830500000000001</v>
      </c>
      <c r="E69">
        <v>57.027299999999997</v>
      </c>
    </row>
    <row r="70" spans="2:7" x14ac:dyDescent="0.2">
      <c r="B70" s="31" t="s">
        <v>156</v>
      </c>
      <c r="C70" s="32">
        <v>16.477699999999999</v>
      </c>
      <c r="D70">
        <v>20.085899999999999</v>
      </c>
      <c r="E70">
        <v>26.032599999999999</v>
      </c>
    </row>
    <row r="71" spans="2:7" x14ac:dyDescent="0.2">
      <c r="B71" s="31" t="s">
        <v>157</v>
      </c>
      <c r="C71" s="32">
        <v>9.5236000000000001</v>
      </c>
      <c r="D71">
        <v>12.816599999999999</v>
      </c>
      <c r="E71">
        <v>18.838799999999999</v>
      </c>
    </row>
    <row r="72" spans="2:7" x14ac:dyDescent="0.2">
      <c r="B72" s="31" t="s">
        <v>61</v>
      </c>
      <c r="C72" s="32">
        <v>703.92129999999997</v>
      </c>
      <c r="D72">
        <v>991.49850000000004</v>
      </c>
      <c r="E72">
        <v>1400.5617</v>
      </c>
      <c r="F72" t="s">
        <v>258</v>
      </c>
      <c r="G72" t="s">
        <v>271</v>
      </c>
    </row>
    <row r="73" spans="2:7" x14ac:dyDescent="0.2">
      <c r="B73" s="31" t="s">
        <v>59</v>
      </c>
      <c r="C73" s="32">
        <v>2175.46</v>
      </c>
      <c r="D73">
        <v>3264.1496999999999</v>
      </c>
      <c r="E73">
        <v>4477.7596999999996</v>
      </c>
      <c r="F73" t="s">
        <v>258</v>
      </c>
      <c r="G73" t="s">
        <v>271</v>
      </c>
    </row>
    <row r="74" spans="2:7" x14ac:dyDescent="0.2">
      <c r="B74" s="31" t="s">
        <v>158</v>
      </c>
      <c r="C74" s="32">
        <v>746.74969999999996</v>
      </c>
      <c r="D74">
        <v>805.34140000000002</v>
      </c>
      <c r="E74">
        <v>885.0453</v>
      </c>
    </row>
    <row r="75" spans="2:7" x14ac:dyDescent="0.2">
      <c r="B75" s="31" t="s">
        <v>159</v>
      </c>
      <c r="C75" s="32">
        <v>158.03540000000001</v>
      </c>
      <c r="D75">
        <v>284.77510000000001</v>
      </c>
      <c r="E75">
        <v>221.75389999999999</v>
      </c>
    </row>
    <row r="76" spans="2:7" x14ac:dyDescent="0.2">
      <c r="B76" s="31" t="s">
        <v>160</v>
      </c>
      <c r="C76" s="32">
        <v>4.6551</v>
      </c>
      <c r="D76">
        <v>4.8688000000000002</v>
      </c>
      <c r="E76">
        <v>5.5133000000000001</v>
      </c>
    </row>
    <row r="77" spans="2:7" x14ac:dyDescent="0.2">
      <c r="B77" s="31" t="s">
        <v>161</v>
      </c>
      <c r="C77" s="32">
        <v>80.392099999999999</v>
      </c>
      <c r="D77">
        <v>97.371899999999997</v>
      </c>
      <c r="E77">
        <v>71.496099999999998</v>
      </c>
    </row>
    <row r="78" spans="2:7" x14ac:dyDescent="0.2">
      <c r="B78" s="31" t="s">
        <v>162</v>
      </c>
      <c r="C78" s="32">
        <v>9.1402000000000001</v>
      </c>
      <c r="D78">
        <v>9.2441999999999993</v>
      </c>
      <c r="E78">
        <v>9.2949999999999999</v>
      </c>
    </row>
    <row r="79" spans="2:7" x14ac:dyDescent="0.2">
      <c r="B79" s="31" t="s">
        <v>163</v>
      </c>
      <c r="C79" s="32">
        <v>24.6417</v>
      </c>
      <c r="D79">
        <v>38.463000000000001</v>
      </c>
      <c r="E79">
        <v>45.607799999999997</v>
      </c>
    </row>
    <row r="80" spans="2:7" x14ac:dyDescent="0.2">
      <c r="B80" s="31" t="s">
        <v>40</v>
      </c>
      <c r="C80" s="32">
        <v>1302.55</v>
      </c>
      <c r="D80">
        <v>1209.8324</v>
      </c>
      <c r="E80">
        <v>1054.4367999999999</v>
      </c>
      <c r="F80" t="s">
        <v>36</v>
      </c>
      <c r="G80" t="s">
        <v>270</v>
      </c>
    </row>
    <row r="81" spans="2:7" x14ac:dyDescent="0.2">
      <c r="B81" s="31" t="s">
        <v>164</v>
      </c>
      <c r="C81" s="32">
        <v>304.29539999999997</v>
      </c>
      <c r="D81">
        <v>282.60059999999999</v>
      </c>
      <c r="E81">
        <v>318.87759999999997</v>
      </c>
    </row>
    <row r="82" spans="2:7" x14ac:dyDescent="0.2">
      <c r="B82" s="31" t="s">
        <v>70</v>
      </c>
      <c r="C82" s="32">
        <v>53.584600000000002</v>
      </c>
      <c r="D82">
        <v>76.646600000000007</v>
      </c>
      <c r="E82">
        <v>109.53360000000001</v>
      </c>
    </row>
    <row r="83" spans="2:7" x14ac:dyDescent="0.2">
      <c r="B83" s="31" t="s">
        <v>165</v>
      </c>
      <c r="C83" s="32">
        <v>13.766299999999999</v>
      </c>
      <c r="D83">
        <v>17.991499999999998</v>
      </c>
      <c r="E83">
        <v>20.629100000000001</v>
      </c>
    </row>
    <row r="84" spans="2:7" x14ac:dyDescent="0.2">
      <c r="B84" s="31" t="s">
        <v>166</v>
      </c>
      <c r="C84" s="32">
        <v>32.680199999999999</v>
      </c>
      <c r="D84">
        <v>36.959600000000002</v>
      </c>
      <c r="E84">
        <v>38.051900000000003</v>
      </c>
    </row>
    <row r="85" spans="2:7" x14ac:dyDescent="0.2">
      <c r="B85" s="31" t="s">
        <v>167</v>
      </c>
      <c r="C85" s="32">
        <v>8.72E-2</v>
      </c>
      <c r="D85">
        <v>0.1007</v>
      </c>
      <c r="E85">
        <v>0.11899999999999999</v>
      </c>
    </row>
    <row r="86" spans="2:7" x14ac:dyDescent="0.2">
      <c r="B86" s="31" t="s">
        <v>168</v>
      </c>
      <c r="C86" s="32">
        <v>0.2671</v>
      </c>
      <c r="D86">
        <v>0.37740000000000001</v>
      </c>
      <c r="E86">
        <v>0.44540000000000002</v>
      </c>
    </row>
    <row r="87" spans="2:7" x14ac:dyDescent="0.2">
      <c r="B87" s="31" t="s">
        <v>63</v>
      </c>
      <c r="C87" s="32">
        <v>662.22839999999997</v>
      </c>
      <c r="D87">
        <v>551.26679999999999</v>
      </c>
      <c r="E87">
        <v>539.31859999999995</v>
      </c>
      <c r="F87" t="s">
        <v>258</v>
      </c>
      <c r="G87" t="s">
        <v>271</v>
      </c>
    </row>
    <row r="88" spans="2:7" x14ac:dyDescent="0.2">
      <c r="B88" s="31" t="s">
        <v>169</v>
      </c>
      <c r="C88" s="32">
        <v>109.80289999999999</v>
      </c>
      <c r="D88">
        <v>143.57660000000001</v>
      </c>
      <c r="E88">
        <v>172.63310000000001</v>
      </c>
    </row>
    <row r="89" spans="2:7" x14ac:dyDescent="0.2">
      <c r="B89" s="31" t="s">
        <v>170</v>
      </c>
      <c r="C89" s="32">
        <v>12.384600000000001</v>
      </c>
      <c r="D89">
        <v>15.5319</v>
      </c>
      <c r="E89">
        <v>20.0397</v>
      </c>
    </row>
    <row r="90" spans="2:7" x14ac:dyDescent="0.2">
      <c r="B90" s="31" t="s">
        <v>171</v>
      </c>
      <c r="C90" s="32">
        <v>24.505500000000001</v>
      </c>
      <c r="D90">
        <v>29.510300000000001</v>
      </c>
      <c r="E90">
        <v>35.2395</v>
      </c>
    </row>
    <row r="91" spans="2:7" x14ac:dyDescent="0.2">
      <c r="B91" s="31" t="s">
        <v>172</v>
      </c>
      <c r="C91" s="32">
        <v>3.121</v>
      </c>
      <c r="D91">
        <v>4.7916999999999996</v>
      </c>
      <c r="E91">
        <v>8.2681000000000004</v>
      </c>
    </row>
    <row r="92" spans="2:7" x14ac:dyDescent="0.2">
      <c r="B92" s="31" t="s">
        <v>173</v>
      </c>
      <c r="C92" s="32">
        <v>88.396000000000001</v>
      </c>
      <c r="D92">
        <v>110.1172</v>
      </c>
      <c r="E92">
        <v>133.82730000000001</v>
      </c>
    </row>
    <row r="93" spans="2:7" x14ac:dyDescent="0.2">
      <c r="B93" s="31" t="s">
        <v>174</v>
      </c>
      <c r="C93" s="32">
        <v>0.50570000000000004</v>
      </c>
      <c r="D93">
        <v>0.55899999999999994</v>
      </c>
      <c r="E93">
        <v>0.65969999999999995</v>
      </c>
    </row>
    <row r="94" spans="2:7" x14ac:dyDescent="0.2">
      <c r="B94" s="31" t="s">
        <v>175</v>
      </c>
      <c r="C94" s="32">
        <v>0.24279999999999999</v>
      </c>
      <c r="D94">
        <v>0.23200000000000001</v>
      </c>
      <c r="E94">
        <v>0.29049999999999998</v>
      </c>
    </row>
    <row r="95" spans="2:7" x14ac:dyDescent="0.2">
      <c r="B95" s="31" t="s">
        <v>176</v>
      </c>
      <c r="C95" s="32">
        <v>26.019600000000001</v>
      </c>
      <c r="D95">
        <v>34.390799999999999</v>
      </c>
      <c r="E95">
        <v>48.032299999999999</v>
      </c>
    </row>
    <row r="96" spans="2:7" x14ac:dyDescent="0.2">
      <c r="B96" s="31" t="s">
        <v>177</v>
      </c>
      <c r="C96" s="32">
        <v>4.6662999999999997</v>
      </c>
      <c r="D96">
        <v>5.2907000000000002</v>
      </c>
      <c r="E96">
        <v>6.0487000000000002</v>
      </c>
    </row>
    <row r="97" spans="2:7" x14ac:dyDescent="0.2">
      <c r="B97" s="31" t="s">
        <v>178</v>
      </c>
      <c r="C97" s="32">
        <v>1.5979000000000001</v>
      </c>
      <c r="D97">
        <v>2.6166999999999998</v>
      </c>
      <c r="E97">
        <v>4.0275999999999996</v>
      </c>
    </row>
    <row r="98" spans="2:7" x14ac:dyDescent="0.2">
      <c r="B98" s="31" t="s">
        <v>179</v>
      </c>
      <c r="C98" s="32">
        <v>75.935900000000004</v>
      </c>
      <c r="D98">
        <v>89.2303</v>
      </c>
      <c r="E98">
        <v>126.7894</v>
      </c>
    </row>
    <row r="99" spans="2:7" x14ac:dyDescent="0.2">
      <c r="B99" s="31" t="s">
        <v>180</v>
      </c>
      <c r="C99" s="32">
        <v>0.13589999999999999</v>
      </c>
      <c r="D99">
        <v>0.1308</v>
      </c>
      <c r="E99">
        <v>0.14449999999999999</v>
      </c>
    </row>
    <row r="100" spans="2:7" x14ac:dyDescent="0.2">
      <c r="B100" s="31" t="s">
        <v>181</v>
      </c>
      <c r="C100" s="32">
        <v>14.455500000000001</v>
      </c>
      <c r="D100">
        <v>12.9344</v>
      </c>
      <c r="E100">
        <v>14.332000000000001</v>
      </c>
    </row>
    <row r="101" spans="2:7" x14ac:dyDescent="0.2">
      <c r="B101" s="31" t="s">
        <v>182</v>
      </c>
      <c r="C101" s="32">
        <v>34.129100000000001</v>
      </c>
      <c r="D101">
        <v>34.622199999999999</v>
      </c>
      <c r="E101">
        <v>39.540100000000002</v>
      </c>
    </row>
    <row r="102" spans="2:7" x14ac:dyDescent="0.2">
      <c r="B102" s="31" t="s">
        <v>183</v>
      </c>
      <c r="C102" s="32">
        <v>1.0146999999999999</v>
      </c>
      <c r="D102">
        <v>1.3523000000000001</v>
      </c>
      <c r="E102">
        <v>1.4812000000000001</v>
      </c>
    </row>
    <row r="103" spans="2:7" x14ac:dyDescent="0.2">
      <c r="B103" s="31" t="s">
        <v>65</v>
      </c>
      <c r="C103" s="32">
        <v>647.76790000000005</v>
      </c>
      <c r="D103">
        <v>630.1771</v>
      </c>
      <c r="E103">
        <v>763.01130000000001</v>
      </c>
      <c r="F103" t="s">
        <v>258</v>
      </c>
      <c r="G103" t="s">
        <v>271</v>
      </c>
    </row>
    <row r="104" spans="2:7" x14ac:dyDescent="0.2">
      <c r="B104" s="31" t="s">
        <v>184</v>
      </c>
      <c r="C104" s="32">
        <v>0.1699</v>
      </c>
      <c r="D104">
        <v>0.20100000000000001</v>
      </c>
      <c r="E104">
        <v>0.23760000000000001</v>
      </c>
    </row>
    <row r="105" spans="2:7" x14ac:dyDescent="0.2">
      <c r="B105" s="31" t="s">
        <v>185</v>
      </c>
      <c r="C105" s="32">
        <v>12.258900000000001</v>
      </c>
      <c r="D105">
        <v>12.472899999999999</v>
      </c>
      <c r="E105">
        <v>15.0504</v>
      </c>
    </row>
    <row r="106" spans="2:7" x14ac:dyDescent="0.2">
      <c r="B106" s="31" t="s">
        <v>186</v>
      </c>
      <c r="C106" s="32">
        <v>32.9392</v>
      </c>
      <c r="D106">
        <v>36.2333</v>
      </c>
      <c r="E106">
        <v>39.023000000000003</v>
      </c>
    </row>
    <row r="107" spans="2:7" x14ac:dyDescent="0.2">
      <c r="B107" s="31" t="s">
        <v>187</v>
      </c>
      <c r="C107" s="32">
        <v>109.41800000000001</v>
      </c>
      <c r="D107">
        <v>126.4961</v>
      </c>
      <c r="E107">
        <v>137.5779</v>
      </c>
    </row>
    <row r="108" spans="2:7" x14ac:dyDescent="0.2">
      <c r="B108" s="31" t="s">
        <v>188</v>
      </c>
      <c r="C108" s="32">
        <v>4.6718999999999999</v>
      </c>
      <c r="D108">
        <v>4.3912000000000004</v>
      </c>
      <c r="E108">
        <v>4.4954000000000001</v>
      </c>
    </row>
    <row r="109" spans="2:7" x14ac:dyDescent="0.2">
      <c r="B109" s="31" t="s">
        <v>189</v>
      </c>
      <c r="C109" s="32">
        <v>29.8352</v>
      </c>
      <c r="D109">
        <v>54.843999999999987</v>
      </c>
      <c r="E109">
        <v>64.359899999999996</v>
      </c>
    </row>
    <row r="110" spans="2:7" x14ac:dyDescent="0.2">
      <c r="B110" s="31" t="s">
        <v>190</v>
      </c>
      <c r="C110" s="32">
        <v>33.0321</v>
      </c>
      <c r="D110">
        <v>49.093800000000002</v>
      </c>
      <c r="E110">
        <v>62.309800000000003</v>
      </c>
    </row>
    <row r="111" spans="2:7" x14ac:dyDescent="0.2">
      <c r="B111" s="31" t="s">
        <v>191</v>
      </c>
      <c r="C111" s="32">
        <v>11.8947</v>
      </c>
      <c r="D111">
        <v>13.8415</v>
      </c>
      <c r="E111">
        <v>15.633699999999999</v>
      </c>
    </row>
    <row r="112" spans="2:7" x14ac:dyDescent="0.2">
      <c r="B112" s="31" t="s">
        <v>192</v>
      </c>
      <c r="C112" s="32">
        <v>6.9885000000000002</v>
      </c>
      <c r="D112">
        <v>9.2857000000000003</v>
      </c>
      <c r="E112">
        <v>11.1286</v>
      </c>
    </row>
    <row r="113" spans="2:5" x14ac:dyDescent="0.2">
      <c r="B113" s="31" t="s">
        <v>193</v>
      </c>
      <c r="C113" s="32">
        <v>9.3582999999999998</v>
      </c>
      <c r="D113">
        <v>12.0367</v>
      </c>
      <c r="E113">
        <v>16.110600000000002</v>
      </c>
    </row>
    <row r="114" spans="2:5" x14ac:dyDescent="0.2">
      <c r="B114" s="31" t="s">
        <v>194</v>
      </c>
      <c r="C114" s="32">
        <v>336.71480000000003</v>
      </c>
      <c r="D114">
        <v>362.298</v>
      </c>
      <c r="E114">
        <v>389.22239999999999</v>
      </c>
    </row>
    <row r="115" spans="2:5" x14ac:dyDescent="0.2">
      <c r="B115" s="31" t="s">
        <v>195</v>
      </c>
      <c r="C115" s="32">
        <v>12.1998</v>
      </c>
      <c r="D115">
        <v>11.948700000000001</v>
      </c>
      <c r="E115">
        <v>13.013999999999999</v>
      </c>
    </row>
    <row r="116" spans="2:5" x14ac:dyDescent="0.2">
      <c r="B116" s="31" t="s">
        <v>196</v>
      </c>
      <c r="C116" s="32">
        <v>28.203099999999999</v>
      </c>
      <c r="D116">
        <v>34.502200000000002</v>
      </c>
      <c r="E116">
        <v>36.630699999999997</v>
      </c>
    </row>
    <row r="117" spans="2:5" x14ac:dyDescent="0.2">
      <c r="B117" s="31" t="s">
        <v>197</v>
      </c>
      <c r="C117" s="32">
        <v>221.10419999999999</v>
      </c>
      <c r="D117">
        <v>321.44810000000001</v>
      </c>
      <c r="E117">
        <v>420.43759999999997</v>
      </c>
    </row>
    <row r="118" spans="2:5" x14ac:dyDescent="0.2">
      <c r="B118" s="31" t="s">
        <v>198</v>
      </c>
      <c r="C118" s="32">
        <v>15.3749</v>
      </c>
      <c r="D118">
        <v>17.7165</v>
      </c>
      <c r="E118">
        <v>23.7743</v>
      </c>
    </row>
    <row r="119" spans="2:5" x14ac:dyDescent="0.2">
      <c r="B119" s="31" t="s">
        <v>199</v>
      </c>
      <c r="C119" s="32">
        <v>6.4999999999999997E-3</v>
      </c>
      <c r="D119">
        <v>1.7399999999999999E-2</v>
      </c>
      <c r="E119">
        <v>2.0500000000000001E-2</v>
      </c>
    </row>
    <row r="120" spans="2:5" x14ac:dyDescent="0.2">
      <c r="B120" s="31" t="s">
        <v>92</v>
      </c>
      <c r="C120" s="32">
        <v>55.5</v>
      </c>
      <c r="D120">
        <v>36.049999999999997</v>
      </c>
      <c r="E120">
        <v>27.35</v>
      </c>
    </row>
    <row r="121" spans="2:5" x14ac:dyDescent="0.2">
      <c r="B121" s="31" t="s">
        <v>200</v>
      </c>
      <c r="C121" s="32">
        <v>43.014499999999998</v>
      </c>
      <c r="D121">
        <v>47.674100000000003</v>
      </c>
      <c r="E121">
        <v>57.851100000000002</v>
      </c>
    </row>
    <row r="122" spans="2:5" x14ac:dyDescent="0.2">
      <c r="B122" s="31" t="s">
        <v>201</v>
      </c>
      <c r="C122" s="32">
        <v>4.3200000000000002E-2</v>
      </c>
      <c r="D122">
        <v>4.9799999999999997E-2</v>
      </c>
      <c r="E122">
        <v>5.8900000000000001E-2</v>
      </c>
    </row>
    <row r="123" spans="2:5" x14ac:dyDescent="0.2">
      <c r="B123" s="31" t="s">
        <v>202</v>
      </c>
      <c r="C123" s="32">
        <v>77.267799999999994</v>
      </c>
      <c r="D123">
        <v>60.4114</v>
      </c>
      <c r="E123">
        <v>67.460899999999995</v>
      </c>
    </row>
    <row r="124" spans="2:5" x14ac:dyDescent="0.2">
      <c r="B124" s="31" t="s">
        <v>203</v>
      </c>
      <c r="C124" s="32">
        <v>68.432900000000004</v>
      </c>
      <c r="D124">
        <v>91.029499999999999</v>
      </c>
      <c r="E124">
        <v>100.9988</v>
      </c>
    </row>
    <row r="125" spans="2:5" x14ac:dyDescent="0.2">
      <c r="B125" s="31" t="s">
        <v>204</v>
      </c>
      <c r="C125" s="32">
        <v>390.04259999999999</v>
      </c>
      <c r="D125">
        <v>410.69260000000003</v>
      </c>
      <c r="E125">
        <v>476.86810000000003</v>
      </c>
    </row>
    <row r="126" spans="2:5" x14ac:dyDescent="0.2">
      <c r="B126" s="31" t="s">
        <v>205</v>
      </c>
      <c r="C126" s="32">
        <v>13.872</v>
      </c>
      <c r="D126">
        <v>18.7562</v>
      </c>
      <c r="E126">
        <v>27.5669</v>
      </c>
    </row>
    <row r="127" spans="2:5" x14ac:dyDescent="0.2">
      <c r="B127" s="31" t="s">
        <v>206</v>
      </c>
      <c r="C127" s="32">
        <v>0</v>
      </c>
      <c r="D127">
        <v>0</v>
      </c>
      <c r="E127">
        <v>0</v>
      </c>
    </row>
    <row r="128" spans="2:5" x14ac:dyDescent="0.2">
      <c r="B128" s="31" t="s">
        <v>72</v>
      </c>
      <c r="C128" s="32">
        <v>84.083500000000001</v>
      </c>
      <c r="D128">
        <v>109.2296</v>
      </c>
      <c r="E128">
        <v>125.029</v>
      </c>
    </row>
    <row r="129" spans="2:7" x14ac:dyDescent="0.2">
      <c r="B129" s="31" t="s">
        <v>207</v>
      </c>
      <c r="C129" s="32">
        <v>149.22210000000001</v>
      </c>
      <c r="D129">
        <v>152.16460000000001</v>
      </c>
      <c r="E129">
        <v>101.96899999999999</v>
      </c>
    </row>
    <row r="130" spans="2:7" x14ac:dyDescent="0.2">
      <c r="B130" s="31" t="s">
        <v>208</v>
      </c>
      <c r="C130" s="32">
        <v>0.25440000000000002</v>
      </c>
      <c r="D130">
        <v>0.27760000000000001</v>
      </c>
      <c r="E130">
        <v>0.3281</v>
      </c>
    </row>
    <row r="131" spans="2:7" x14ac:dyDescent="0.2">
      <c r="B131" s="31" t="s">
        <v>209</v>
      </c>
      <c r="C131" s="32">
        <v>13.799099999999999</v>
      </c>
      <c r="D131">
        <v>16.764700000000001</v>
      </c>
      <c r="E131">
        <v>20.039300000000001</v>
      </c>
    </row>
    <row r="132" spans="2:7" x14ac:dyDescent="0.2">
      <c r="B132" s="31" t="s">
        <v>210</v>
      </c>
      <c r="C132" s="32">
        <v>90.956400000000002</v>
      </c>
      <c r="D132">
        <v>74.400800000000004</v>
      </c>
      <c r="E132">
        <v>87.934299999999993</v>
      </c>
    </row>
    <row r="133" spans="2:7" x14ac:dyDescent="0.2">
      <c r="B133" s="31" t="s">
        <v>211</v>
      </c>
      <c r="C133" s="32">
        <v>35.3947</v>
      </c>
      <c r="D133">
        <v>42.828200000000002</v>
      </c>
      <c r="E133">
        <v>51.572899999999997</v>
      </c>
    </row>
    <row r="134" spans="2:7" x14ac:dyDescent="0.2">
      <c r="B134" s="31" t="s">
        <v>212</v>
      </c>
      <c r="C134" s="32">
        <v>124.5518</v>
      </c>
      <c r="D134">
        <v>211.4434</v>
      </c>
      <c r="E134">
        <v>227.0204</v>
      </c>
    </row>
    <row r="135" spans="2:7" x14ac:dyDescent="0.2">
      <c r="B135" s="31" t="s">
        <v>90</v>
      </c>
      <c r="C135" s="32">
        <v>2057.8780000000002</v>
      </c>
      <c r="D135">
        <v>2188.5940999999998</v>
      </c>
      <c r="E135">
        <v>2297</v>
      </c>
      <c r="F135" t="s">
        <v>258</v>
      </c>
      <c r="G135" t="s">
        <v>270</v>
      </c>
    </row>
    <row r="136" spans="2:7" x14ac:dyDescent="0.2">
      <c r="B136" s="31" t="s">
        <v>213</v>
      </c>
      <c r="C136" s="32">
        <v>6.2888000000000002</v>
      </c>
      <c r="D136">
        <v>8.3165999999999993</v>
      </c>
      <c r="E136">
        <v>11.6868</v>
      </c>
    </row>
    <row r="137" spans="2:7" x14ac:dyDescent="0.2">
      <c r="B137" s="31" t="s">
        <v>66</v>
      </c>
      <c r="C137" s="32">
        <v>531.94000000000005</v>
      </c>
      <c r="D137">
        <v>766.16070000000002</v>
      </c>
      <c r="E137">
        <v>1104.5550000000001</v>
      </c>
      <c r="F137" t="s">
        <v>258</v>
      </c>
      <c r="G137" t="s">
        <v>271</v>
      </c>
    </row>
    <row r="138" spans="2:7" x14ac:dyDescent="0.2">
      <c r="B138" s="31" t="s">
        <v>214</v>
      </c>
      <c r="C138" s="32">
        <v>105.68470000000001</v>
      </c>
      <c r="D138">
        <v>114.88639999999999</v>
      </c>
      <c r="E138">
        <v>132.3904</v>
      </c>
    </row>
    <row r="139" spans="2:7" x14ac:dyDescent="0.2">
      <c r="B139" s="31" t="s">
        <v>215</v>
      </c>
      <c r="C139" s="32">
        <v>24.8354</v>
      </c>
      <c r="D139">
        <v>27.4678</v>
      </c>
      <c r="E139">
        <v>33.7864</v>
      </c>
    </row>
    <row r="140" spans="2:7" x14ac:dyDescent="0.2">
      <c r="B140" s="31" t="s">
        <v>216</v>
      </c>
      <c r="C140" s="32">
        <v>47.5276</v>
      </c>
      <c r="D140">
        <v>51.603299999999997</v>
      </c>
      <c r="E140">
        <v>53.843999999999987</v>
      </c>
    </row>
    <row r="141" spans="2:7" x14ac:dyDescent="0.2">
      <c r="B141" s="31" t="s">
        <v>217</v>
      </c>
      <c r="C141" s="32">
        <v>1.3599999999999999E-2</v>
      </c>
      <c r="D141">
        <v>1.47E-2</v>
      </c>
      <c r="E141">
        <v>1.7999999999999999E-2</v>
      </c>
    </row>
    <row r="142" spans="2:7" x14ac:dyDescent="0.2">
      <c r="B142" s="31" t="s">
        <v>218</v>
      </c>
      <c r="C142" s="32">
        <v>0.3488</v>
      </c>
      <c r="D142">
        <v>0.37359999999999999</v>
      </c>
      <c r="E142">
        <v>0.48070000000000002</v>
      </c>
    </row>
    <row r="143" spans="2:7" x14ac:dyDescent="0.2">
      <c r="B143" s="31" t="s">
        <v>219</v>
      </c>
      <c r="C143" s="32">
        <v>5.7784000000000004</v>
      </c>
      <c r="D143">
        <v>10.924099999999999</v>
      </c>
      <c r="E143">
        <v>14.2204</v>
      </c>
    </row>
    <row r="144" spans="2:7" x14ac:dyDescent="0.2">
      <c r="B144" s="31" t="s">
        <v>220</v>
      </c>
      <c r="C144" s="32">
        <v>12.1244</v>
      </c>
      <c r="D144">
        <v>12.6381</v>
      </c>
      <c r="E144">
        <v>14.8476</v>
      </c>
    </row>
    <row r="145" spans="2:5" x14ac:dyDescent="0.2">
      <c r="B145" s="31" t="s">
        <v>221</v>
      </c>
      <c r="C145" s="32">
        <v>0.24709999999999999</v>
      </c>
      <c r="D145">
        <v>0.1988</v>
      </c>
      <c r="E145">
        <v>0.20449999999999999</v>
      </c>
    </row>
    <row r="146" spans="2:5" x14ac:dyDescent="0.2">
      <c r="B146" s="31" t="s">
        <v>222</v>
      </c>
      <c r="C146" s="32">
        <v>27.710899999999999</v>
      </c>
      <c r="D146">
        <v>27.945399999999999</v>
      </c>
      <c r="E146">
        <v>37.118400000000001</v>
      </c>
    </row>
    <row r="147" spans="2:5" x14ac:dyDescent="0.2">
      <c r="B147" s="31" t="s">
        <v>223</v>
      </c>
      <c r="C147" s="32">
        <v>66.385099999999994</v>
      </c>
      <c r="D147">
        <v>64.205500000000001</v>
      </c>
      <c r="E147">
        <v>55.387799999999999</v>
      </c>
    </row>
    <row r="148" spans="2:5" x14ac:dyDescent="0.2">
      <c r="B148" s="31" t="s">
        <v>224</v>
      </c>
      <c r="C148" s="32">
        <v>47.133099999999999</v>
      </c>
      <c r="D148">
        <v>64.906199999999998</v>
      </c>
      <c r="E148">
        <v>74.146600000000007</v>
      </c>
    </row>
    <row r="149" spans="2:5" x14ac:dyDescent="0.2">
      <c r="B149" s="31" t="s">
        <v>225</v>
      </c>
      <c r="C149" s="32">
        <v>0.15939999999999999</v>
      </c>
      <c r="D149">
        <v>0.20680000000000001</v>
      </c>
      <c r="E149">
        <v>0.25440000000000002</v>
      </c>
    </row>
    <row r="150" spans="2:5" x14ac:dyDescent="0.2">
      <c r="B150" s="31" t="s">
        <v>226</v>
      </c>
      <c r="C150" s="32">
        <v>3.4403999999999999</v>
      </c>
      <c r="D150">
        <v>3.5615999999999999</v>
      </c>
      <c r="E150">
        <v>4.7325999999999997</v>
      </c>
    </row>
    <row r="151" spans="2:5" x14ac:dyDescent="0.2">
      <c r="B151" s="31" t="s">
        <v>227</v>
      </c>
      <c r="C151" s="32">
        <v>2.7696999999999998</v>
      </c>
      <c r="D151">
        <v>2.7124999999999999</v>
      </c>
      <c r="E151">
        <v>2.9249999999999998</v>
      </c>
    </row>
    <row r="152" spans="2:5" x14ac:dyDescent="0.2">
      <c r="B152" s="31" t="s">
        <v>228</v>
      </c>
      <c r="C152" s="32">
        <v>0.51090000000000002</v>
      </c>
      <c r="D152">
        <v>0.62519999999999998</v>
      </c>
      <c r="E152">
        <v>0.7389</v>
      </c>
    </row>
    <row r="153" spans="2:5" x14ac:dyDescent="0.2">
      <c r="B153" s="31" t="s">
        <v>229</v>
      </c>
      <c r="C153" s="32">
        <v>80.947000000000003</v>
      </c>
      <c r="D153">
        <v>73.199700000000007</v>
      </c>
      <c r="E153">
        <v>106.7183</v>
      </c>
    </row>
    <row r="154" spans="2:5" x14ac:dyDescent="0.2">
      <c r="B154" s="31" t="s">
        <v>230</v>
      </c>
      <c r="C154" s="32">
        <v>0.19719999999999999</v>
      </c>
      <c r="D154">
        <v>0.23680000000000001</v>
      </c>
      <c r="E154">
        <v>0.27950000000000003</v>
      </c>
    </row>
    <row r="155" spans="2:5" x14ac:dyDescent="0.2">
      <c r="B155" s="31" t="s">
        <v>231</v>
      </c>
      <c r="C155" s="32">
        <v>26.2989</v>
      </c>
      <c r="D155">
        <v>26.404900000000001</v>
      </c>
      <c r="E155">
        <v>27.4513</v>
      </c>
    </row>
    <row r="156" spans="2:5" x14ac:dyDescent="0.2">
      <c r="B156" s="31" t="s">
        <v>232</v>
      </c>
      <c r="C156" s="32">
        <v>7.9591000000000003</v>
      </c>
      <c r="D156">
        <v>9.9984999999999999</v>
      </c>
      <c r="E156">
        <v>11.897399999999999</v>
      </c>
    </row>
    <row r="157" spans="2:5" x14ac:dyDescent="0.2">
      <c r="B157" s="31" t="s">
        <v>233</v>
      </c>
      <c r="C157" s="32">
        <v>332.23149999999998</v>
      </c>
      <c r="D157">
        <v>378.57089999999999</v>
      </c>
      <c r="E157">
        <v>376.91079999999999</v>
      </c>
    </row>
    <row r="158" spans="2:5" x14ac:dyDescent="0.2">
      <c r="B158" s="31" t="s">
        <v>234</v>
      </c>
      <c r="C158" s="32">
        <v>9.4257000000000009</v>
      </c>
      <c r="D158">
        <v>11.0731</v>
      </c>
      <c r="E158">
        <v>13.8978</v>
      </c>
    </row>
    <row r="159" spans="2:5" x14ac:dyDescent="0.2">
      <c r="B159" s="31" t="s">
        <v>235</v>
      </c>
      <c r="C159" s="32">
        <v>5.9999999999999995E-4</v>
      </c>
      <c r="D159">
        <v>5.9999999999999995E-4</v>
      </c>
      <c r="E159">
        <v>6.9999999999999999E-4</v>
      </c>
    </row>
    <row r="160" spans="2:5" x14ac:dyDescent="0.2">
      <c r="B160" s="31" t="s">
        <v>236</v>
      </c>
      <c r="C160" s="32">
        <v>75.334299999999999</v>
      </c>
      <c r="D160">
        <v>116.1267</v>
      </c>
      <c r="E160">
        <v>146.06059999999999</v>
      </c>
    </row>
    <row r="161" spans="2:7" x14ac:dyDescent="0.2">
      <c r="B161" s="31" t="s">
        <v>237</v>
      </c>
      <c r="C161" s="32">
        <v>1.2169000000000001</v>
      </c>
      <c r="D161">
        <v>1.7439</v>
      </c>
      <c r="E161">
        <v>2.4245000000000001</v>
      </c>
    </row>
    <row r="162" spans="2:7" x14ac:dyDescent="0.2">
      <c r="B162" s="31" t="s">
        <v>238</v>
      </c>
      <c r="C162" s="32">
        <v>0.2288</v>
      </c>
      <c r="D162">
        <v>0.251</v>
      </c>
      <c r="E162">
        <v>0.29670000000000002</v>
      </c>
    </row>
    <row r="163" spans="2:7" x14ac:dyDescent="0.2">
      <c r="B163" s="31" t="s">
        <v>239</v>
      </c>
      <c r="C163" s="32">
        <v>80.489000000000004</v>
      </c>
      <c r="D163">
        <v>88.2804</v>
      </c>
      <c r="E163">
        <v>83.295199999999994</v>
      </c>
    </row>
    <row r="164" spans="2:7" x14ac:dyDescent="0.2">
      <c r="B164" s="31" t="s">
        <v>240</v>
      </c>
      <c r="C164" s="32">
        <v>39.547600000000003</v>
      </c>
      <c r="D164">
        <v>47.031999999999996</v>
      </c>
      <c r="E164">
        <v>63.932200000000002</v>
      </c>
    </row>
    <row r="165" spans="2:7" x14ac:dyDescent="0.2">
      <c r="B165" s="31" t="s">
        <v>67</v>
      </c>
      <c r="C165" s="32">
        <v>398.9</v>
      </c>
      <c r="D165">
        <v>600.52459999999996</v>
      </c>
      <c r="E165">
        <v>980.50909999999999</v>
      </c>
      <c r="F165" t="s">
        <v>258</v>
      </c>
      <c r="G165" t="s">
        <v>271</v>
      </c>
    </row>
    <row r="166" spans="2:7" x14ac:dyDescent="0.2">
      <c r="B166" s="31" t="s">
        <v>241</v>
      </c>
      <c r="C166" s="32">
        <v>1.5599999999999999E-2</v>
      </c>
      <c r="D166">
        <v>2.2100000000000002E-2</v>
      </c>
      <c r="E166">
        <v>2.6100000000000002E-2</v>
      </c>
    </row>
    <row r="167" spans="2:7" x14ac:dyDescent="0.2">
      <c r="B167" s="31" t="s">
        <v>242</v>
      </c>
      <c r="C167" s="32">
        <v>299.38979999999998</v>
      </c>
      <c r="D167">
        <v>316.50349999999997</v>
      </c>
      <c r="E167">
        <v>367.8288</v>
      </c>
    </row>
    <row r="168" spans="2:7" x14ac:dyDescent="0.2">
      <c r="B168" s="31" t="s">
        <v>243</v>
      </c>
      <c r="C168" s="32">
        <v>70.898099999999999</v>
      </c>
      <c r="D168">
        <v>91.992500000000007</v>
      </c>
      <c r="E168">
        <v>89.315100000000001</v>
      </c>
    </row>
    <row r="169" spans="2:7" x14ac:dyDescent="0.2">
      <c r="B169" s="31" t="s">
        <v>244</v>
      </c>
      <c r="C169" s="32">
        <v>39.659300000000002</v>
      </c>
      <c r="D169">
        <v>49.583100000000002</v>
      </c>
      <c r="E169">
        <v>68.918899999999994</v>
      </c>
    </row>
    <row r="170" spans="2:7" x14ac:dyDescent="0.2">
      <c r="B170" s="31" t="s">
        <v>93</v>
      </c>
      <c r="C170" s="32">
        <v>406.79910000000001</v>
      </c>
      <c r="D170">
        <v>371.0333</v>
      </c>
      <c r="E170">
        <v>495.33350000000002</v>
      </c>
    </row>
    <row r="171" spans="2:7" x14ac:dyDescent="0.2">
      <c r="B171" s="31" t="s">
        <v>245</v>
      </c>
      <c r="C171" s="32">
        <v>37.582299999999996</v>
      </c>
      <c r="D171">
        <v>44.438999999999993</v>
      </c>
      <c r="E171">
        <v>48.583599999999997</v>
      </c>
    </row>
    <row r="172" spans="2:7" x14ac:dyDescent="0.2">
      <c r="B172" s="31" t="s">
        <v>14</v>
      </c>
      <c r="C172" s="32">
        <v>6981.6130000000003</v>
      </c>
      <c r="D172">
        <v>6469.9411</v>
      </c>
      <c r="E172">
        <v>6384.6945999999998</v>
      </c>
      <c r="F172" t="s">
        <v>36</v>
      </c>
      <c r="G172" t="s">
        <v>270</v>
      </c>
    </row>
    <row r="173" spans="2:7" x14ac:dyDescent="0.2">
      <c r="B173" s="31" t="s">
        <v>246</v>
      </c>
      <c r="C173" s="32">
        <v>221.0711</v>
      </c>
      <c r="D173">
        <v>259.44929999999999</v>
      </c>
      <c r="E173">
        <v>298.15350000000001</v>
      </c>
    </row>
    <row r="174" spans="2:7" x14ac:dyDescent="0.2">
      <c r="B174" s="31" t="s">
        <v>247</v>
      </c>
      <c r="C174" s="32">
        <v>6.4999999999999997E-3</v>
      </c>
      <c r="D174">
        <v>7.6E-3</v>
      </c>
      <c r="E174">
        <v>7.7999999999999996E-3</v>
      </c>
    </row>
    <row r="175" spans="2:7" x14ac:dyDescent="0.2">
      <c r="B175" s="31" t="s">
        <v>248</v>
      </c>
      <c r="C175" s="32">
        <v>0.33839999999999998</v>
      </c>
      <c r="D175">
        <v>0.36630000000000001</v>
      </c>
      <c r="E175">
        <v>0.43240000000000001</v>
      </c>
    </row>
    <row r="176" spans="2:7" x14ac:dyDescent="0.2">
      <c r="B176" s="31" t="s">
        <v>249</v>
      </c>
      <c r="C176" s="32">
        <v>267.39949999999999</v>
      </c>
      <c r="D176">
        <v>298.42020000000002</v>
      </c>
      <c r="E176">
        <v>345.36689999999999</v>
      </c>
    </row>
    <row r="177" spans="2:7" x14ac:dyDescent="0.2">
      <c r="B177" s="31" t="s">
        <v>250</v>
      </c>
      <c r="C177" s="32">
        <v>0.19089999999999999</v>
      </c>
      <c r="D177">
        <v>0.20899999999999999</v>
      </c>
      <c r="E177">
        <v>0.215</v>
      </c>
    </row>
    <row r="178" spans="2:7" x14ac:dyDescent="0.2">
      <c r="B178" s="31" t="s">
        <v>251</v>
      </c>
      <c r="C178" s="32">
        <v>275.28129999999999</v>
      </c>
      <c r="D178">
        <v>327.62509999999997</v>
      </c>
      <c r="E178">
        <v>383.38630000000001</v>
      </c>
    </row>
    <row r="179" spans="2:7" x14ac:dyDescent="0.2">
      <c r="B179" s="31" t="s">
        <v>252</v>
      </c>
      <c r="C179" s="32">
        <v>0.62239999999999995</v>
      </c>
      <c r="D179">
        <v>0.64390000000000003</v>
      </c>
      <c r="E179">
        <v>0.72230000000000005</v>
      </c>
    </row>
    <row r="180" spans="2:7" x14ac:dyDescent="0.2">
      <c r="B180" s="31" t="s">
        <v>253</v>
      </c>
      <c r="C180" s="32">
        <v>0.40749999999999997</v>
      </c>
      <c r="D180">
        <v>0.37330000000000002</v>
      </c>
      <c r="E180">
        <v>0.35620000000000002</v>
      </c>
    </row>
    <row r="181" spans="2:7" x14ac:dyDescent="0.2">
      <c r="B181" s="31" t="s">
        <v>254</v>
      </c>
      <c r="C181" s="32">
        <v>40.313499999999998</v>
      </c>
      <c r="D181">
        <v>50.577399999999997</v>
      </c>
      <c r="E181">
        <v>50.1434</v>
      </c>
    </row>
    <row r="182" spans="2:7" x14ac:dyDescent="0.2">
      <c r="B182" s="31" t="s">
        <v>60</v>
      </c>
      <c r="C182" s="32">
        <v>547.15599999999995</v>
      </c>
      <c r="D182">
        <v>537.53120000000001</v>
      </c>
      <c r="E182">
        <v>492.66800000000001</v>
      </c>
      <c r="F182" t="s">
        <v>258</v>
      </c>
      <c r="G182" t="s">
        <v>270</v>
      </c>
    </row>
    <row r="183" spans="2:7" x14ac:dyDescent="0.2">
      <c r="B183" s="31" t="s">
        <v>255</v>
      </c>
      <c r="C183" s="32">
        <v>31.407800000000002</v>
      </c>
      <c r="D183">
        <v>39.517899999999997</v>
      </c>
      <c r="E183">
        <v>32.020800000000001</v>
      </c>
    </row>
    <row r="184" spans="2:7" x14ac:dyDescent="0.2">
      <c r="B184" s="31" t="s">
        <v>256</v>
      </c>
      <c r="C184" s="32">
        <v>23.928799999999999</v>
      </c>
      <c r="D184">
        <v>29.856000000000002</v>
      </c>
      <c r="E184">
        <v>34.658000000000001</v>
      </c>
    </row>
    <row r="186" spans="2:7" x14ac:dyDescent="0.2">
      <c r="B186" s="33" t="s">
        <v>258</v>
      </c>
      <c r="C186" s="28">
        <f>SUMIF($F5:$F184,"G20",C5:C184)+SUMIF($F5:$F184,"G7",C5:C184)</f>
        <v>34220.3125</v>
      </c>
      <c r="D186" s="28">
        <f>SUMIF($F5:$F184,"G20",D5:D184)+SUMIF($F5:$F184,"G7",D5:D184)</f>
        <v>37516.375100000005</v>
      </c>
      <c r="E186" s="28">
        <f>SUMIF($F5:$F184,"G20",E5:E184)+SUMIF($F5:$F184,"G7",E5:E184)</f>
        <v>39686.537799999991</v>
      </c>
    </row>
    <row r="187" spans="2:7" x14ac:dyDescent="0.2">
      <c r="B187" s="33" t="s">
        <v>36</v>
      </c>
      <c r="C187" s="28">
        <f>SUMIF($F5:$F184,"G7",C5:C184)</f>
        <v>13773.500599999999</v>
      </c>
      <c r="D187" s="28">
        <f>SUMIF($F5:$F184,"G7",D5:D184)</f>
        <v>12399.973900000001</v>
      </c>
      <c r="E187" s="28">
        <f>SUMIF($F5:$F184,"G7",E5:E184)</f>
        <v>11384.253099999998</v>
      </c>
    </row>
    <row r="188" spans="2:7" x14ac:dyDescent="0.2">
      <c r="B188" s="33" t="s">
        <v>261</v>
      </c>
      <c r="C188" s="28">
        <f>SUM(C5:C184)</f>
        <v>43028.427500000013</v>
      </c>
      <c r="D188" s="28">
        <f>SUM(D5:D184)</f>
        <v>47716.201099999991</v>
      </c>
      <c r="E188" s="28">
        <f>SUM(E5:E184)</f>
        <v>51348.309299999972</v>
      </c>
    </row>
    <row r="189" spans="2:7" x14ac:dyDescent="0.2">
      <c r="B189" s="33" t="s">
        <v>272</v>
      </c>
      <c r="C189" s="28">
        <f>SUMIFS(C5:C184,$F$5:$F$184, "G20", $G$5:$G$184, "Y")+SUMIFS(C5:C184,$F$5:$F$184, "G7", $G$5:$G$184, "Y")</f>
        <v>27616.962</v>
      </c>
      <c r="D189" s="28">
        <f>SUMIFS(D5:D184,$F$5:$F$184, "G20", $G$5:$G$184, "Y")+SUMIFS(D5:D184,$F$5:$F$184, "G7", $G$5:$G$184, "Y")</f>
        <v>29157.821400000001</v>
      </c>
    </row>
    <row r="190" spans="2:7" x14ac:dyDescent="0.2">
      <c r="B190" s="33" t="s">
        <v>273</v>
      </c>
      <c r="C190" s="28">
        <f>SUMIFS(C5:C184,$F$5:$F$184, "G7", $G$5:$G$184, "Y")</f>
        <v>13773.500599999999</v>
      </c>
      <c r="D190" s="28">
        <f>SUMIFS(D5:D184,$F$5:$F$184, "G7", $G$5:$G$184, "Y")</f>
        <v>12399.973900000001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NDC_updates</vt:lpstr>
      <vt:lpstr>for_analysis</vt:lpstr>
      <vt:lpstr>USA</vt:lpstr>
      <vt:lpstr>2010_emissions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Fyson</dc:creator>
  <cp:lastModifiedBy>Claire Fyson</cp:lastModifiedBy>
  <dcterms:created xsi:type="dcterms:W3CDTF">2021-02-10T22:09:36Z</dcterms:created>
  <dcterms:modified xsi:type="dcterms:W3CDTF">2021-05-31T19:16:43Z</dcterms:modified>
</cp:coreProperties>
</file>